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14955" windowHeight="8445" tabRatio="464" activeTab="0"/>
  </bookViews>
  <sheets>
    <sheet name="Instructions" sheetId="1" r:id="rId1"/>
    <sheet name="Calc" sheetId="2" r:id="rId2"/>
    <sheet name="Data" sheetId="3" r:id="rId3"/>
    <sheet name="Do_Not_Edit" sheetId="4" r:id="rId4"/>
  </sheets>
  <definedNames>
    <definedName name="___INDEX_SHEET___ASAP_Utilities">#REF!</definedName>
    <definedName name="_Toc130639205" localSheetId="1">'Calc'!#REF!</definedName>
    <definedName name="CRITERIA" localSheetId="2">'Do_Not_Edit'!$B$13:$C$14</definedName>
    <definedName name="Current" localSheetId="1">'Calc'!$C$10</definedName>
    <definedName name="Current">#REF!</definedName>
    <definedName name="data">#REF!</definedName>
    <definedName name="ef" localSheetId="1">'Calc'!$C$27</definedName>
    <definedName name="ef">#REF!</definedName>
    <definedName name="Export_pc" localSheetId="1">'Calc'!$C$18</definedName>
    <definedName name="Export_pc">#REF!</definedName>
    <definedName name="Exports">'Calc'!$C$18</definedName>
    <definedName name="Growth" localSheetId="1">'Calc'!$C$22</definedName>
    <definedName name="Growth">#REF!</definedName>
    <definedName name="Import_pc" localSheetId="1">'Calc'!$C$17</definedName>
    <definedName name="Import_pc">#REF!</definedName>
    <definedName name="Imports">'Calc'!$C$17</definedName>
    <definedName name="Intro">#REF!</definedName>
    <definedName name="Lifetime" localSheetId="1">'Calc'!$C$26</definedName>
    <definedName name="Lifetime">#REF!</definedName>
    <definedName name="New">'Calc'!$C$19</definedName>
    <definedName name="oldtable">'Data'!$B$20:$W$43</definedName>
    <definedName name="Production">'Calc'!$C$16</definedName>
    <definedName name="Recovery">'Calc'!$C$28</definedName>
    <definedName name="sales" localSheetId="1">'Calc'!$C$16</definedName>
    <definedName name="sales">#REF!</definedName>
    <definedName name="Start">'Calc'!$C$21</definedName>
  </definedNames>
  <calcPr fullCalcOnLoad="1" iterate="1" iterateCount="10" iterateDelta="0"/>
</workbook>
</file>

<file path=xl/sharedStrings.xml><?xml version="1.0" encoding="utf-8"?>
<sst xmlns="http://schemas.openxmlformats.org/spreadsheetml/2006/main" count="105" uniqueCount="75">
  <si>
    <t>Current Year</t>
  </si>
  <si>
    <t>Year</t>
  </si>
  <si>
    <t>Emission</t>
  </si>
  <si>
    <t>HFC-23</t>
  </si>
  <si>
    <t>HFC-125</t>
  </si>
  <si>
    <t>HFC-134a</t>
  </si>
  <si>
    <t>HFC-236fa</t>
  </si>
  <si>
    <t>HFC-227ea</t>
  </si>
  <si>
    <t>PFC-31-10</t>
  </si>
  <si>
    <t>Emission Factor from installed base</t>
  </si>
  <si>
    <t>Total New Agent in Domestic Equipment</t>
  </si>
  <si>
    <t>Agent in Retired Equipment</t>
  </si>
  <si>
    <t>Destruction of agent in retired equipment</t>
  </si>
  <si>
    <t>Release of agent from retired equipment</t>
  </si>
  <si>
    <t>PFC-14</t>
  </si>
  <si>
    <t>Use National Data</t>
  </si>
  <si>
    <t>Use Default Data</t>
  </si>
  <si>
    <t>Data Used Here</t>
  </si>
  <si>
    <t>Instructions</t>
  </si>
  <si>
    <t>2006 IPCC Guidelines for National Greenhouse Gas Inventories</t>
  </si>
  <si>
    <r>
      <t>©</t>
    </r>
    <r>
      <rPr>
        <sz val="10"/>
        <rFont val="Arial"/>
        <family val="2"/>
      </rPr>
      <t>IPCC 2006</t>
    </r>
  </si>
  <si>
    <t>Tier 1 Defaults</t>
  </si>
  <si>
    <t>This spreadsheet implements the simple Tier 1 methods for estimating emissions from fire protection of substitutes for ozone depleting substances. For details of the method see the 2006 IPCC Guidelines for National Greenhouse Gas Inventories Volume 3 Chapter 7</t>
  </si>
  <si>
    <t xml:space="preserve">Tier 1 FIRE PROTECTION </t>
  </si>
  <si>
    <t xml:space="preserve">The spreadsheet is to calculate emission for the current year. The graph does not show emissions beyond this as further assumptions are required to project emissions. </t>
  </si>
  <si>
    <t>All the cells where the user can enter data are coloured yellow.</t>
  </si>
  <si>
    <t>Agent in Exports</t>
  </si>
  <si>
    <t>Production</t>
  </si>
  <si>
    <t>Bank</t>
  </si>
  <si>
    <t>Note that the production is total production of agent domestically and excludes agent in imported equipment.</t>
  </si>
  <si>
    <t>Agent in Imports</t>
  </si>
  <si>
    <t>Imports in current Year</t>
  </si>
  <si>
    <t>Exports in  current year</t>
  </si>
  <si>
    <t>Total new agent to domestic market</t>
  </si>
  <si>
    <t>Summary</t>
  </si>
  <si>
    <t>Agent:</t>
  </si>
  <si>
    <t>Country:</t>
  </si>
  <si>
    <t>Year:</t>
  </si>
  <si>
    <t>Emission:</t>
  </si>
  <si>
    <t>Growth Rate in New Equipment Sales</t>
  </si>
  <si>
    <t>Assumed Equipment Lifetime (years)</t>
  </si>
  <si>
    <t>In Bank:</t>
  </si>
  <si>
    <t>Year of introduction of agent</t>
  </si>
  <si>
    <t>Domestic production of agent (tonnes) in current year</t>
  </si>
  <si>
    <t>Imports of agent (tonnes) in current year</t>
  </si>
  <si>
    <t>Exports of agent (tonnes) in current year</t>
  </si>
  <si>
    <t>Growth rate of sales of equipement that uses the agent</t>
  </si>
  <si>
    <t>The defaults form the Tier 1 methodology are used. These can be changed if there is evidence for better values.</t>
  </si>
  <si>
    <t>Production in current year</t>
  </si>
  <si>
    <t>Year of introduction</t>
  </si>
  <si>
    <t>% destroyed at end of life</t>
  </si>
  <si>
    <t>Country</t>
  </si>
  <si>
    <t>The minimum data required is:</t>
  </si>
  <si>
    <t>Use of Agent in Current Year</t>
  </si>
  <si>
    <t>Agent</t>
  </si>
  <si>
    <t>Imports in current year</t>
  </si>
  <si>
    <t>Growth rate in new equipment sales</t>
  </si>
  <si>
    <t>Assumed equipment lifetime (years)</t>
  </si>
  <si>
    <t>Import</t>
  </si>
  <si>
    <t>Export</t>
  </si>
  <si>
    <t>Data for previous years</t>
  </si>
  <si>
    <t>Estimated data for earlier years</t>
  </si>
  <si>
    <t>Enter the year the estimate is for in cell C3 on the sheet "Data".</t>
  </si>
  <si>
    <t>Note that the default for destruction of recovered agent from retired equipment is 0. (Cells C17 to I17 on the sheet "Data".)</t>
  </si>
  <si>
    <t>Select chemical from the list in cells B5 to B6 on the sheet "Calc".</t>
  </si>
  <si>
    <t>If you have use data for years earlier than the current inventory year this data can be entered in cells C24 to W43 on the sheet "Data". The cells for the appropriate years are coloured yellow. Data for the current year must be entred as indicated in step 3 above.</t>
  </si>
  <si>
    <t>The result is in the green box, cell H7 on the sheet "Calc".</t>
  </si>
  <si>
    <t>In the absence of historic data on production, imports and exports, the calculations assume that the total market for equipment grows exponentially while the share of the market which is taken by the flourinated gas grows linearly between the year of introduction and the current year.</t>
  </si>
  <si>
    <t>HFC-236fa</t>
  </si>
  <si>
    <t>Data entry is performed on the sheet "Data".</t>
  </si>
  <si>
    <t>Calculations are performed on the sheet "Calc".</t>
  </si>
  <si>
    <t>For Servicing</t>
  </si>
  <si>
    <t>Amount of total new agent less that for servicing</t>
  </si>
  <si>
    <t>For New Equipment</t>
  </si>
  <si>
    <t>Country XX</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</si>
</sst>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000000000"/>
    <numFmt numFmtId="185" formatCode="0.0"/>
    <numFmt numFmtId="186" formatCode="0.000"/>
    <numFmt numFmtId="187" formatCode="0.0000"/>
    <numFmt numFmtId="188" formatCode="0.00000"/>
    <numFmt numFmtId="189" formatCode="0.000000"/>
    <numFmt numFmtId="190" formatCode="&quot;Yes&quot;;&quot;Yes&quot;;&quot;No&quot;"/>
    <numFmt numFmtId="191" formatCode="&quot;True&quot;;&quot;True&quot;;&quot;False&quot;"/>
    <numFmt numFmtId="192" formatCode="&quot;On&quot;;&quot;On&quot;;&quot;Off&quot;"/>
    <numFmt numFmtId="193" formatCode="[$€-2]\ #,##0.00_);[Red]\([$€-2]\ #,##0.00\)"/>
    <numFmt numFmtId="194" formatCode="0.00,&quot;tonnes&quot;"/>
    <numFmt numFmtId="195" formatCode="0.00,&quot; tonnes&quot;"/>
    <numFmt numFmtId="196" formatCode="[$-809]dd\ mmmm\ yyyy"/>
    <numFmt numFmtId="197" formatCode="\ \ \ @"/>
    <numFmt numFmtId="198" formatCode="0.0%"/>
  </numFmts>
  <fonts count="58">
    <font>
      <sz val="10"/>
      <name val="Arial"/>
      <family val="2"/>
    </font>
    <font>
      <sz val="8"/>
      <name val="Arial"/>
      <family val="2"/>
    </font>
    <font>
      <b/>
      <sz val="10"/>
      <name val="Arial"/>
      <family val="2"/>
    </font>
    <font>
      <b/>
      <sz val="9"/>
      <name val="Arial"/>
      <family val="2"/>
    </font>
    <font>
      <sz val="9"/>
      <name val="Arial"/>
      <family val="2"/>
    </font>
    <font>
      <u val="single"/>
      <sz val="10"/>
      <color indexed="36"/>
      <name val="Arial"/>
      <family val="2"/>
    </font>
    <font>
      <u val="single"/>
      <sz val="10"/>
      <color indexed="12"/>
      <name val="Arial"/>
      <family val="2"/>
    </font>
    <font>
      <b/>
      <i/>
      <sz val="9"/>
      <name val="Arial"/>
      <family val="2"/>
    </font>
    <font>
      <b/>
      <sz val="14"/>
      <name val="Arial"/>
      <family val="2"/>
    </font>
    <font>
      <b/>
      <u val="single"/>
      <sz val="11"/>
      <name val="Arial"/>
      <family val="2"/>
    </font>
    <font>
      <b/>
      <i/>
      <sz val="12"/>
      <name val="Arial"/>
      <family val="2"/>
    </font>
    <font>
      <i/>
      <sz val="9"/>
      <name val="Arial"/>
      <family val="2"/>
    </font>
    <font>
      <b/>
      <i/>
      <sz val="11"/>
      <name val="Arial"/>
      <family val="2"/>
    </font>
    <font>
      <sz val="12"/>
      <name val="Arial"/>
      <family val="2"/>
    </font>
    <font>
      <b/>
      <sz val="12"/>
      <name val="Arial"/>
      <family val="2"/>
    </font>
    <font>
      <sz val="9"/>
      <color indexed="9"/>
      <name val="Arial"/>
      <family val="2"/>
    </font>
    <font>
      <b/>
      <sz val="8"/>
      <name val="Arial"/>
      <family val="2"/>
    </font>
    <font>
      <sz val="9"/>
      <color indexed="10"/>
      <name val="Arial"/>
      <family val="2"/>
    </font>
    <font>
      <b/>
      <i/>
      <sz val="8"/>
      <name val="Arial"/>
      <family val="2"/>
    </font>
    <font>
      <sz val="10"/>
      <color indexed="10"/>
      <name val="Arial"/>
      <family val="2"/>
    </font>
    <font>
      <i/>
      <sz val="9"/>
      <color indexed="10"/>
      <name val="Arial"/>
      <family val="2"/>
    </font>
    <font>
      <sz val="8"/>
      <color indexed="8"/>
      <name val="Arial"/>
      <family val="2"/>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indexed="13"/>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indexed="52"/>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medium"/>
    </border>
    <border>
      <left style="thin"/>
      <right style="medium"/>
      <top style="medium"/>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thin"/>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style="medium"/>
    </border>
    <border>
      <left>
        <color indexed="63"/>
      </left>
      <right>
        <color indexed="63"/>
      </right>
      <top>
        <color indexed="63"/>
      </top>
      <bottom style="medium"/>
    </border>
    <border>
      <left style="medium"/>
      <right>
        <color indexed="63"/>
      </right>
      <top style="medium"/>
      <bottom style="thin"/>
    </border>
    <border>
      <left style="medium"/>
      <right style="medium"/>
      <top style="medium"/>
      <bottom style="thin"/>
    </border>
    <border>
      <left>
        <color indexed="63"/>
      </left>
      <right style="medium"/>
      <top style="medium"/>
      <bottom style="thin"/>
    </border>
    <border>
      <left style="medium"/>
      <right>
        <color indexed="63"/>
      </right>
      <top style="thin"/>
      <bottom style="thin"/>
    </border>
    <border>
      <left style="medium"/>
      <right style="medium"/>
      <top style="thin"/>
      <bottom style="thin"/>
    </border>
    <border>
      <left style="medium"/>
      <right>
        <color indexed="63"/>
      </right>
      <top style="thin"/>
      <bottom style="medium"/>
    </border>
    <border>
      <left style="medium"/>
      <right style="medium"/>
      <top style="thin"/>
      <bottom style="medium"/>
    </border>
    <border>
      <left style="medium"/>
      <right style="medium"/>
      <top style="medium"/>
      <bottom style="medium"/>
    </border>
    <border>
      <left style="thin"/>
      <right style="thin"/>
      <top>
        <color indexed="63"/>
      </top>
      <bottom style="thin"/>
    </border>
    <border>
      <left style="thin"/>
      <right style="thin"/>
      <top style="medium"/>
      <bottom style="thin"/>
    </border>
    <border>
      <left style="thin"/>
      <right style="thin"/>
      <top style="thin"/>
      <bottom style="medium"/>
    </border>
    <border>
      <left>
        <color indexed="63"/>
      </left>
      <right style="medium"/>
      <top style="medium"/>
      <bottom>
        <color indexed="63"/>
      </bottom>
    </border>
    <border>
      <left>
        <color indexed="63"/>
      </left>
      <right>
        <color indexed="63"/>
      </right>
      <top style="medium"/>
      <bottom style="medium"/>
    </border>
    <border>
      <left>
        <color indexed="63"/>
      </left>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1"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56" fillId="31" borderId="4" applyNumberFormat="0" applyAlignment="0" applyProtection="0"/>
    <xf numFmtId="0" fontId="5" fillId="0" borderId="0" applyNumberFormat="0" applyFill="0" applyBorder="0" applyAlignment="0" applyProtection="0"/>
    <xf numFmtId="0" fontId="57" fillId="32" borderId="0" applyNumberFormat="0" applyBorder="0" applyAlignment="0" applyProtection="0"/>
  </cellStyleXfs>
  <cellXfs count="130">
    <xf numFmtId="0" fontId="0" fillId="0" borderId="0" xfId="0" applyAlignment="1">
      <alignment/>
    </xf>
    <xf numFmtId="0" fontId="0" fillId="0" borderId="0" xfId="0" applyAlignment="1">
      <alignment vertical="top" wrapText="1"/>
    </xf>
    <xf numFmtId="0" fontId="0" fillId="0" borderId="0" xfId="0" applyAlignment="1">
      <alignment vertical="top"/>
    </xf>
    <xf numFmtId="0" fontId="9" fillId="0" borderId="0" xfId="0" applyFont="1" applyAlignment="1">
      <alignment/>
    </xf>
    <xf numFmtId="0" fontId="0" fillId="0" borderId="0" xfId="0" applyFont="1" applyAlignment="1">
      <alignment/>
    </xf>
    <xf numFmtId="0" fontId="4" fillId="0" borderId="0" xfId="0" applyFont="1" applyAlignment="1" applyProtection="1">
      <alignment/>
      <protection/>
    </xf>
    <xf numFmtId="0" fontId="4" fillId="0" borderId="0" xfId="0" applyFont="1" applyFill="1" applyBorder="1" applyAlignment="1" applyProtection="1">
      <alignment/>
      <protection/>
    </xf>
    <xf numFmtId="0" fontId="3" fillId="0" borderId="0" xfId="0" applyFont="1" applyFill="1" applyBorder="1" applyAlignment="1" applyProtection="1">
      <alignment vertical="top" wrapText="1"/>
      <protection/>
    </xf>
    <xf numFmtId="0" fontId="4" fillId="0" borderId="0" xfId="0" applyFont="1" applyFill="1" applyBorder="1" applyAlignment="1" applyProtection="1">
      <alignment vertical="top" wrapText="1"/>
      <protection/>
    </xf>
    <xf numFmtId="0" fontId="4" fillId="0" borderId="0" xfId="0" applyFont="1" applyAlignment="1" applyProtection="1">
      <alignment horizontal="right"/>
      <protection/>
    </xf>
    <xf numFmtId="0" fontId="3" fillId="0" borderId="0" xfId="0" applyFont="1" applyFill="1" applyAlignment="1" applyProtection="1">
      <alignment/>
      <protection/>
    </xf>
    <xf numFmtId="0" fontId="4" fillId="0" borderId="0" xfId="0" applyFont="1" applyFill="1" applyAlignment="1" applyProtection="1">
      <alignment/>
      <protection/>
    </xf>
    <xf numFmtId="1" fontId="4" fillId="0" borderId="0" xfId="0" applyNumberFormat="1" applyFont="1" applyFill="1" applyBorder="1" applyAlignment="1" applyProtection="1">
      <alignment horizontal="center"/>
      <protection/>
    </xf>
    <xf numFmtId="2" fontId="3" fillId="0" borderId="0" xfId="0" applyNumberFormat="1" applyFont="1" applyFill="1" applyBorder="1" applyAlignment="1" applyProtection="1">
      <alignment horizontal="center"/>
      <protection/>
    </xf>
    <xf numFmtId="0" fontId="0" fillId="0" borderId="0" xfId="0" applyAlignment="1">
      <alignment horizontal="left" vertical="top" wrapText="1"/>
    </xf>
    <xf numFmtId="0" fontId="4" fillId="0" borderId="0" xfId="0" applyFont="1" applyBorder="1" applyAlignment="1" applyProtection="1">
      <alignment/>
      <protection/>
    </xf>
    <xf numFmtId="0" fontId="4" fillId="0" borderId="0" xfId="0" applyFont="1" applyBorder="1" applyAlignment="1" applyProtection="1">
      <alignment horizontal="right"/>
      <protection/>
    </xf>
    <xf numFmtId="0" fontId="10" fillId="0" borderId="0" xfId="0" applyFont="1" applyAlignment="1" applyProtection="1">
      <alignment/>
      <protection/>
    </xf>
    <xf numFmtId="1" fontId="4" fillId="0" borderId="0" xfId="0" applyNumberFormat="1" applyFont="1" applyAlignment="1" applyProtection="1">
      <alignment/>
      <protection/>
    </xf>
    <xf numFmtId="0" fontId="3" fillId="33" borderId="10" xfId="0" applyFont="1" applyFill="1" applyBorder="1" applyAlignment="1" applyProtection="1">
      <alignment horizontal="right"/>
      <protection/>
    </xf>
    <xf numFmtId="0" fontId="3" fillId="33" borderId="11" xfId="0" applyFont="1" applyFill="1" applyBorder="1" applyAlignment="1" applyProtection="1">
      <alignment horizontal="right"/>
      <protection/>
    </xf>
    <xf numFmtId="0" fontId="3" fillId="33" borderId="12" xfId="0" applyFont="1" applyFill="1" applyBorder="1" applyAlignment="1" applyProtection="1">
      <alignment horizontal="right"/>
      <protection/>
    </xf>
    <xf numFmtId="0" fontId="3" fillId="0" borderId="0" xfId="0" applyFont="1" applyBorder="1" applyAlignment="1" applyProtection="1">
      <alignment wrapText="1"/>
      <protection/>
    </xf>
    <xf numFmtId="0" fontId="12" fillId="0" borderId="10" xfId="0" applyFont="1" applyBorder="1" applyAlignment="1" applyProtection="1">
      <alignment horizontal="left"/>
      <protection/>
    </xf>
    <xf numFmtId="0" fontId="12" fillId="0" borderId="13" xfId="0" applyFont="1" applyBorder="1" applyAlignment="1" applyProtection="1">
      <alignment horizontal="left"/>
      <protection/>
    </xf>
    <xf numFmtId="1" fontId="4" fillId="33" borderId="14" xfId="43" applyNumberFormat="1" applyFont="1" applyFill="1" applyBorder="1" applyAlignment="1" applyProtection="1">
      <alignment/>
      <protection/>
    </xf>
    <xf numFmtId="0" fontId="7" fillId="34" borderId="15" xfId="0" applyFont="1" applyFill="1" applyBorder="1" applyAlignment="1" applyProtection="1">
      <alignment/>
      <protection/>
    </xf>
    <xf numFmtId="0" fontId="4" fillId="34" borderId="15" xfId="0" applyFont="1" applyFill="1" applyBorder="1" applyAlignment="1" applyProtection="1">
      <alignment/>
      <protection/>
    </xf>
    <xf numFmtId="0" fontId="4" fillId="34" borderId="16" xfId="0" applyFont="1" applyFill="1" applyBorder="1" applyAlignment="1" applyProtection="1">
      <alignment/>
      <protection/>
    </xf>
    <xf numFmtId="0" fontId="4" fillId="34" borderId="17" xfId="0" applyFont="1" applyFill="1" applyBorder="1" applyAlignment="1" applyProtection="1">
      <alignment/>
      <protection/>
    </xf>
    <xf numFmtId="0" fontId="7" fillId="0" borderId="18" xfId="0" applyFont="1" applyBorder="1" applyAlignment="1" applyProtection="1">
      <alignment horizontal="left"/>
      <protection/>
    </xf>
    <xf numFmtId="0" fontId="4" fillId="0" borderId="18" xfId="0" applyFont="1" applyBorder="1" applyAlignment="1" applyProtection="1">
      <alignment horizontal="right"/>
      <protection/>
    </xf>
    <xf numFmtId="0" fontId="3" fillId="0" borderId="18" xfId="0" applyFont="1" applyFill="1" applyBorder="1" applyAlignment="1" applyProtection="1">
      <alignment/>
      <protection/>
    </xf>
    <xf numFmtId="0" fontId="4" fillId="0" borderId="18" xfId="0" applyFont="1" applyFill="1" applyBorder="1" applyAlignment="1" applyProtection="1">
      <alignment/>
      <protection/>
    </xf>
    <xf numFmtId="0" fontId="3" fillId="0" borderId="0" xfId="0" applyFont="1" applyFill="1" applyBorder="1" applyAlignment="1" applyProtection="1">
      <alignment horizontal="right"/>
      <protection/>
    </xf>
    <xf numFmtId="0" fontId="4" fillId="35" borderId="11" xfId="0" applyFont="1" applyFill="1" applyBorder="1" applyAlignment="1" applyProtection="1">
      <alignment/>
      <protection/>
    </xf>
    <xf numFmtId="0" fontId="7" fillId="35" borderId="0" xfId="0" applyFont="1" applyFill="1" applyBorder="1" applyAlignment="1" applyProtection="1">
      <alignment/>
      <protection/>
    </xf>
    <xf numFmtId="0" fontId="4" fillId="35" borderId="0" xfId="0" applyFont="1" applyFill="1" applyBorder="1" applyAlignment="1" applyProtection="1">
      <alignment/>
      <protection/>
    </xf>
    <xf numFmtId="0" fontId="4" fillId="35" borderId="19" xfId="0" applyFont="1" applyFill="1" applyBorder="1" applyAlignment="1" applyProtection="1">
      <alignment/>
      <protection/>
    </xf>
    <xf numFmtId="0" fontId="3" fillId="35" borderId="0" xfId="0" applyFont="1" applyFill="1" applyBorder="1" applyAlignment="1" applyProtection="1">
      <alignment horizontal="right"/>
      <protection/>
    </xf>
    <xf numFmtId="0" fontId="3" fillId="35" borderId="0" xfId="0" applyFont="1" applyFill="1" applyBorder="1" applyAlignment="1" applyProtection="1">
      <alignment horizontal="left"/>
      <protection/>
    </xf>
    <xf numFmtId="0" fontId="4" fillId="35" borderId="12" xfId="0" applyFont="1" applyFill="1" applyBorder="1" applyAlignment="1" applyProtection="1">
      <alignment/>
      <protection/>
    </xf>
    <xf numFmtId="0" fontId="4" fillId="35" borderId="20" xfId="0" applyFont="1" applyFill="1" applyBorder="1" applyAlignment="1" applyProtection="1">
      <alignment/>
      <protection/>
    </xf>
    <xf numFmtId="0" fontId="4" fillId="0" borderId="21" xfId="0" applyFont="1" applyBorder="1" applyAlignment="1" applyProtection="1">
      <alignment/>
      <protection/>
    </xf>
    <xf numFmtId="0" fontId="3" fillId="35" borderId="22" xfId="0" applyFont="1" applyFill="1" applyBorder="1" applyAlignment="1" applyProtection="1">
      <alignment horizontal="right"/>
      <protection/>
    </xf>
    <xf numFmtId="0" fontId="3" fillId="35" borderId="22" xfId="0" applyFont="1" applyFill="1" applyBorder="1" applyAlignment="1" applyProtection="1">
      <alignment horizontal="left"/>
      <protection/>
    </xf>
    <xf numFmtId="0" fontId="13" fillId="35" borderId="11" xfId="0" applyFont="1" applyFill="1" applyBorder="1" applyAlignment="1" applyProtection="1">
      <alignment/>
      <protection/>
    </xf>
    <xf numFmtId="0" fontId="14" fillId="35" borderId="0" xfId="0" applyFont="1" applyFill="1" applyBorder="1" applyAlignment="1" applyProtection="1">
      <alignment horizontal="right"/>
      <protection/>
    </xf>
    <xf numFmtId="0" fontId="14" fillId="35" borderId="0" xfId="0" applyFont="1" applyFill="1" applyBorder="1" applyAlignment="1" applyProtection="1">
      <alignment horizontal="left"/>
      <protection/>
    </xf>
    <xf numFmtId="0" fontId="11" fillId="0" borderId="0" xfId="0" applyFont="1" applyFill="1" applyBorder="1" applyAlignment="1" applyProtection="1">
      <alignment horizontal="right"/>
      <protection/>
    </xf>
    <xf numFmtId="1" fontId="11" fillId="0" borderId="0" xfId="43" applyNumberFormat="1" applyFont="1" applyFill="1" applyBorder="1" applyAlignment="1" applyProtection="1">
      <alignment/>
      <protection/>
    </xf>
    <xf numFmtId="1" fontId="3" fillId="0" borderId="0" xfId="43" applyNumberFormat="1" applyFont="1" applyFill="1" applyBorder="1" applyAlignment="1" applyProtection="1">
      <alignment/>
      <protection/>
    </xf>
    <xf numFmtId="0" fontId="4" fillId="34" borderId="23" xfId="0" applyFont="1" applyFill="1" applyBorder="1" applyAlignment="1" applyProtection="1">
      <alignment horizontal="right"/>
      <protection locked="0"/>
    </xf>
    <xf numFmtId="0" fontId="4" fillId="34" borderId="24" xfId="0" applyFont="1" applyFill="1" applyBorder="1" applyAlignment="1" applyProtection="1">
      <alignment horizontal="right"/>
      <protection locked="0"/>
    </xf>
    <xf numFmtId="0" fontId="4" fillId="34" borderId="25" xfId="0" applyFont="1" applyFill="1" applyBorder="1" applyAlignment="1" applyProtection="1">
      <alignment horizontal="right"/>
      <protection locked="0"/>
    </xf>
    <xf numFmtId="1" fontId="4" fillId="34" borderId="26" xfId="43" applyNumberFormat="1" applyFont="1" applyFill="1" applyBorder="1" applyAlignment="1" applyProtection="1">
      <alignment horizontal="right"/>
      <protection locked="0"/>
    </xf>
    <xf numFmtId="1" fontId="4" fillId="34" borderId="27" xfId="43" applyNumberFormat="1" applyFont="1" applyFill="1" applyBorder="1" applyAlignment="1" applyProtection="1">
      <alignment horizontal="right"/>
      <protection locked="0"/>
    </xf>
    <xf numFmtId="1" fontId="4" fillId="34" borderId="28" xfId="43" applyNumberFormat="1" applyFont="1" applyFill="1" applyBorder="1" applyAlignment="1" applyProtection="1">
      <alignment horizontal="right"/>
      <protection locked="0"/>
    </xf>
    <xf numFmtId="1" fontId="4" fillId="34" borderId="29" xfId="43" applyNumberFormat="1" applyFont="1" applyFill="1" applyBorder="1" applyAlignment="1" applyProtection="1">
      <alignment horizontal="right"/>
      <protection locked="0"/>
    </xf>
    <xf numFmtId="0" fontId="4" fillId="34" borderId="12" xfId="0" applyFont="1" applyFill="1" applyBorder="1" applyAlignment="1" applyProtection="1">
      <alignment horizontal="right"/>
      <protection locked="0"/>
    </xf>
    <xf numFmtId="9" fontId="4" fillId="34" borderId="13" xfId="43" applyFont="1" applyFill="1" applyBorder="1" applyAlignment="1" applyProtection="1">
      <alignment horizontal="right"/>
      <protection locked="0"/>
    </xf>
    <xf numFmtId="9" fontId="4" fillId="33" borderId="14" xfId="43" applyFont="1" applyFill="1" applyBorder="1" applyAlignment="1" applyProtection="1">
      <alignment/>
      <protection/>
    </xf>
    <xf numFmtId="198" fontId="4" fillId="34" borderId="28" xfId="43" applyNumberFormat="1" applyFont="1" applyFill="1" applyBorder="1" applyAlignment="1" applyProtection="1">
      <alignment horizontal="right"/>
      <protection locked="0"/>
    </xf>
    <xf numFmtId="198" fontId="4" fillId="34" borderId="29" xfId="43" applyNumberFormat="1" applyFont="1" applyFill="1" applyBorder="1" applyAlignment="1" applyProtection="1">
      <alignment horizontal="right"/>
      <protection locked="0"/>
    </xf>
    <xf numFmtId="198" fontId="4" fillId="33" borderId="14" xfId="43" applyNumberFormat="1" applyFont="1" applyFill="1" applyBorder="1" applyAlignment="1" applyProtection="1">
      <alignment/>
      <protection/>
    </xf>
    <xf numFmtId="1" fontId="11" fillId="36" borderId="11" xfId="43" applyNumberFormat="1" applyFont="1" applyFill="1" applyBorder="1" applyAlignment="1" applyProtection="1">
      <alignment horizontal="right"/>
      <protection/>
    </xf>
    <xf numFmtId="1" fontId="11" fillId="36" borderId="15" xfId="43" applyNumberFormat="1" applyFont="1" applyFill="1" applyBorder="1" applyAlignment="1" applyProtection="1">
      <alignment horizontal="right"/>
      <protection/>
    </xf>
    <xf numFmtId="1" fontId="11" fillId="36" borderId="19" xfId="43" applyNumberFormat="1" applyFont="1" applyFill="1" applyBorder="1" applyAlignment="1" applyProtection="1">
      <alignment horizontal="right"/>
      <protection/>
    </xf>
    <xf numFmtId="0" fontId="11" fillId="36" borderId="30" xfId="0" applyFont="1" applyFill="1" applyBorder="1" applyAlignment="1" applyProtection="1">
      <alignment horizontal="right"/>
      <protection/>
    </xf>
    <xf numFmtId="0" fontId="4" fillId="37" borderId="12" xfId="0" applyFont="1" applyFill="1" applyBorder="1" applyAlignment="1" applyProtection="1">
      <alignment horizontal="right"/>
      <protection locked="0"/>
    </xf>
    <xf numFmtId="9" fontId="4" fillId="37" borderId="13" xfId="43" applyFont="1" applyFill="1" applyBorder="1" applyAlignment="1" applyProtection="1">
      <alignment horizontal="right"/>
      <protection locked="0"/>
    </xf>
    <xf numFmtId="0" fontId="4" fillId="37" borderId="30" xfId="0" applyFont="1" applyFill="1" applyBorder="1" applyAlignment="1" applyProtection="1">
      <alignment horizontal="right"/>
      <protection locked="0"/>
    </xf>
    <xf numFmtId="9" fontId="4" fillId="37" borderId="30" xfId="43" applyFont="1" applyFill="1" applyBorder="1" applyAlignment="1" applyProtection="1">
      <alignment horizontal="right"/>
      <protection locked="0"/>
    </xf>
    <xf numFmtId="0" fontId="7" fillId="0" borderId="13" xfId="0" applyFont="1" applyBorder="1" applyAlignment="1" applyProtection="1">
      <alignment horizontal="center"/>
      <protection/>
    </xf>
    <xf numFmtId="0" fontId="7" fillId="0" borderId="13" xfId="0" applyFont="1" applyFill="1" applyBorder="1" applyAlignment="1" applyProtection="1">
      <alignment horizontal="center"/>
      <protection/>
    </xf>
    <xf numFmtId="0" fontId="7" fillId="0" borderId="0" xfId="0" applyFont="1" applyFill="1" applyBorder="1" applyAlignment="1" applyProtection="1">
      <alignment horizontal="center"/>
      <protection/>
    </xf>
    <xf numFmtId="0" fontId="16" fillId="33" borderId="18" xfId="0" applyFont="1" applyFill="1" applyBorder="1" applyAlignment="1" applyProtection="1">
      <alignment horizontal="right"/>
      <protection/>
    </xf>
    <xf numFmtId="1" fontId="4" fillId="0" borderId="0" xfId="0" applyNumberFormat="1" applyFont="1" applyFill="1" applyBorder="1" applyAlignment="1" applyProtection="1">
      <alignment vertical="top" wrapText="1"/>
      <protection/>
    </xf>
    <xf numFmtId="0" fontId="16" fillId="33" borderId="31" xfId="0" applyFont="1" applyFill="1" applyBorder="1" applyAlignment="1" applyProtection="1">
      <alignment horizontal="right"/>
      <protection/>
    </xf>
    <xf numFmtId="0" fontId="20" fillId="0" borderId="18" xfId="0" applyFont="1" applyBorder="1" applyAlignment="1" applyProtection="1">
      <alignment horizontal="right"/>
      <protection/>
    </xf>
    <xf numFmtId="0" fontId="20" fillId="0" borderId="32" xfId="0" applyFont="1" applyBorder="1" applyAlignment="1" applyProtection="1">
      <alignment horizontal="right"/>
      <protection/>
    </xf>
    <xf numFmtId="0" fontId="20" fillId="0" borderId="33" xfId="0" applyFont="1" applyBorder="1" applyAlignment="1" applyProtection="1">
      <alignment horizontal="right"/>
      <protection/>
    </xf>
    <xf numFmtId="0" fontId="4" fillId="34" borderId="18" xfId="0" applyFont="1" applyFill="1" applyBorder="1" applyAlignment="1" applyProtection="1">
      <alignment/>
      <protection locked="0"/>
    </xf>
    <xf numFmtId="0" fontId="4" fillId="0" borderId="0" xfId="0" applyFont="1" applyFill="1" applyBorder="1" applyAlignment="1" applyProtection="1">
      <alignment horizontal="center"/>
      <protection/>
    </xf>
    <xf numFmtId="0" fontId="18" fillId="0" borderId="10" xfId="0" applyFont="1" applyBorder="1" applyAlignment="1" applyProtection="1">
      <alignment/>
      <protection/>
    </xf>
    <xf numFmtId="0" fontId="18" fillId="0" borderId="17" xfId="0" applyFont="1" applyBorder="1" applyAlignment="1" applyProtection="1">
      <alignment/>
      <protection/>
    </xf>
    <xf numFmtId="0" fontId="18" fillId="0" borderId="34" xfId="0" applyFont="1" applyBorder="1" applyAlignment="1" applyProtection="1">
      <alignment/>
      <protection/>
    </xf>
    <xf numFmtId="0" fontId="15" fillId="0" borderId="0" xfId="0" applyFont="1" applyAlignment="1" applyProtection="1">
      <alignment/>
      <protection/>
    </xf>
    <xf numFmtId="0" fontId="1" fillId="0" borderId="18" xfId="0" applyFont="1" applyBorder="1" applyAlignment="1" applyProtection="1">
      <alignment/>
      <protection/>
    </xf>
    <xf numFmtId="0" fontId="1" fillId="0" borderId="0" xfId="0" applyFont="1" applyAlignment="1" applyProtection="1">
      <alignment/>
      <protection/>
    </xf>
    <xf numFmtId="0" fontId="0" fillId="0" borderId="0" xfId="0" applyAlignment="1" applyProtection="1">
      <alignment/>
      <protection/>
    </xf>
    <xf numFmtId="0" fontId="2" fillId="34" borderId="35" xfId="0" applyFont="1" applyFill="1" applyBorder="1" applyAlignment="1" applyProtection="1">
      <alignment horizontal="right"/>
      <protection/>
    </xf>
    <xf numFmtId="1" fontId="0" fillId="38" borderId="11" xfId="0" applyNumberFormat="1" applyFill="1" applyBorder="1" applyAlignment="1" applyProtection="1">
      <alignment/>
      <protection/>
    </xf>
    <xf numFmtId="1" fontId="0" fillId="0" borderId="0" xfId="0" applyNumberFormat="1" applyAlignment="1" applyProtection="1">
      <alignment/>
      <protection/>
    </xf>
    <xf numFmtId="0" fontId="19" fillId="0" borderId="10" xfId="0" applyFont="1" applyBorder="1" applyAlignment="1" applyProtection="1">
      <alignment/>
      <protection/>
    </xf>
    <xf numFmtId="0" fontId="17" fillId="0" borderId="36" xfId="0" applyFont="1" applyFill="1" applyBorder="1" applyAlignment="1" applyProtection="1">
      <alignment horizontal="center"/>
      <protection/>
    </xf>
    <xf numFmtId="0" fontId="17" fillId="0" borderId="34" xfId="0" applyFont="1" applyFill="1" applyBorder="1" applyAlignment="1" applyProtection="1">
      <alignment horizontal="center"/>
      <protection/>
    </xf>
    <xf numFmtId="0" fontId="19" fillId="0" borderId="0" xfId="0" applyFont="1" applyAlignment="1" applyProtection="1">
      <alignment/>
      <protection/>
    </xf>
    <xf numFmtId="0" fontId="19" fillId="0" borderId="11" xfId="0" applyFont="1" applyBorder="1" applyAlignment="1" applyProtection="1">
      <alignment/>
      <protection/>
    </xf>
    <xf numFmtId="0" fontId="17" fillId="0" borderId="0" xfId="0" applyFont="1" applyFill="1" applyBorder="1" applyAlignment="1" applyProtection="1">
      <alignment horizontal="center"/>
      <protection/>
    </xf>
    <xf numFmtId="0" fontId="17" fillId="0" borderId="19" xfId="0" applyFont="1" applyFill="1" applyBorder="1" applyAlignment="1" applyProtection="1">
      <alignment horizontal="center"/>
      <protection/>
    </xf>
    <xf numFmtId="0" fontId="19" fillId="0" borderId="12" xfId="0" applyFont="1" applyBorder="1" applyAlignment="1" applyProtection="1">
      <alignment/>
      <protection/>
    </xf>
    <xf numFmtId="0" fontId="17" fillId="0" borderId="22" xfId="0" applyFont="1" applyFill="1" applyBorder="1" applyAlignment="1" applyProtection="1">
      <alignment horizontal="center"/>
      <protection/>
    </xf>
    <xf numFmtId="0" fontId="17" fillId="0" borderId="20" xfId="0" applyFont="1" applyFill="1" applyBorder="1" applyAlignment="1" applyProtection="1">
      <alignment horizontal="center"/>
      <protection/>
    </xf>
    <xf numFmtId="0" fontId="13" fillId="35" borderId="19" xfId="0" applyFont="1" applyFill="1" applyBorder="1" applyAlignment="1" applyProtection="1">
      <alignment/>
      <protection/>
    </xf>
    <xf numFmtId="0" fontId="0" fillId="0" borderId="0" xfId="0" applyFill="1" applyBorder="1" applyAlignment="1" applyProtection="1">
      <alignment/>
      <protection/>
    </xf>
    <xf numFmtId="0" fontId="0" fillId="0" borderId="0" xfId="0" applyBorder="1" applyAlignment="1" applyProtection="1">
      <alignment/>
      <protection/>
    </xf>
    <xf numFmtId="181" fontId="4" fillId="0" borderId="0" xfId="50" applyFont="1" applyAlignment="1" applyProtection="1">
      <alignment/>
      <protection/>
    </xf>
    <xf numFmtId="0" fontId="4" fillId="0" borderId="0" xfId="33" applyFont="1" applyProtection="1">
      <alignment/>
      <protection/>
    </xf>
    <xf numFmtId="1" fontId="4" fillId="0" borderId="0" xfId="33" applyNumberFormat="1" applyFont="1" applyProtection="1">
      <alignment/>
      <protection/>
    </xf>
    <xf numFmtId="0" fontId="8" fillId="0" borderId="0" xfId="0" applyFont="1" applyAlignment="1">
      <alignment horizontal="center"/>
    </xf>
    <xf numFmtId="0" fontId="0" fillId="0" borderId="0" xfId="0" applyAlignment="1">
      <alignment horizontal="left"/>
    </xf>
    <xf numFmtId="0" fontId="0" fillId="0" borderId="0" xfId="0" applyAlignment="1">
      <alignment horizontal="left" vertical="top" wrapText="1"/>
    </xf>
    <xf numFmtId="0" fontId="4" fillId="0" borderId="0" xfId="0" applyFont="1" applyAlignment="1">
      <alignment horizontal="center" vertical="top" wrapText="1"/>
    </xf>
    <xf numFmtId="0" fontId="0" fillId="0" borderId="0" xfId="0" applyAlignment="1">
      <alignment vertical="top" wrapText="1"/>
    </xf>
    <xf numFmtId="0" fontId="3" fillId="0" borderId="17" xfId="0" applyFont="1" applyBorder="1" applyAlignment="1" applyProtection="1">
      <alignment horizontal="center" wrapText="1"/>
      <protection/>
    </xf>
    <xf numFmtId="0" fontId="3" fillId="0" borderId="15" xfId="0" applyFont="1" applyBorder="1" applyAlignment="1" applyProtection="1">
      <alignment horizontal="center" wrapText="1"/>
      <protection/>
    </xf>
    <xf numFmtId="0" fontId="2" fillId="35" borderId="10" xfId="0" applyFont="1" applyFill="1" applyBorder="1" applyAlignment="1" applyProtection="1">
      <alignment horizontal="center"/>
      <protection/>
    </xf>
    <xf numFmtId="0" fontId="2" fillId="35" borderId="36" xfId="0" applyFont="1" applyFill="1" applyBorder="1" applyAlignment="1" applyProtection="1">
      <alignment horizontal="center"/>
      <protection/>
    </xf>
    <xf numFmtId="0" fontId="2" fillId="35" borderId="34" xfId="0" applyFont="1" applyFill="1" applyBorder="1" applyAlignment="1" applyProtection="1">
      <alignment horizontal="center"/>
      <protection/>
    </xf>
    <xf numFmtId="0" fontId="3" fillId="33" borderId="31" xfId="0" applyFont="1" applyFill="1" applyBorder="1" applyAlignment="1" applyProtection="1">
      <alignment horizontal="center"/>
      <protection/>
    </xf>
    <xf numFmtId="0" fontId="4" fillId="34" borderId="35" xfId="0" applyFont="1" applyFill="1" applyBorder="1" applyAlignment="1" applyProtection="1">
      <alignment horizontal="center"/>
      <protection locked="0"/>
    </xf>
    <xf numFmtId="0" fontId="4" fillId="34" borderId="21" xfId="0" applyFont="1" applyFill="1" applyBorder="1" applyAlignment="1" applyProtection="1">
      <alignment horizontal="center"/>
      <protection locked="0"/>
    </xf>
    <xf numFmtId="0" fontId="7" fillId="0" borderId="13" xfId="0" applyFont="1" applyBorder="1" applyAlignment="1" applyProtection="1">
      <alignment horizontal="left"/>
      <protection/>
    </xf>
    <xf numFmtId="0" fontId="7" fillId="0" borderId="35" xfId="0" applyFont="1" applyBorder="1" applyAlignment="1" applyProtection="1">
      <alignment horizontal="left"/>
      <protection/>
    </xf>
    <xf numFmtId="0" fontId="7" fillId="0" borderId="21" xfId="0" applyFont="1" applyBorder="1" applyAlignment="1" applyProtection="1">
      <alignment horizontal="left"/>
      <protection/>
    </xf>
    <xf numFmtId="0" fontId="7" fillId="0" borderId="13" xfId="0" applyFont="1" applyBorder="1" applyAlignment="1" applyProtection="1">
      <alignment horizontal="center"/>
      <protection/>
    </xf>
    <xf numFmtId="0" fontId="7" fillId="0" borderId="35" xfId="0" applyFont="1" applyBorder="1" applyAlignment="1" applyProtection="1">
      <alignment horizontal="center"/>
      <protection/>
    </xf>
    <xf numFmtId="0" fontId="7" fillId="0" borderId="21" xfId="0" applyFont="1" applyBorder="1" applyAlignment="1" applyProtection="1">
      <alignment horizontal="center"/>
      <protection/>
    </xf>
    <xf numFmtId="0" fontId="4" fillId="0" borderId="0" xfId="33" applyFont="1" applyAlignment="1" applyProtection="1">
      <alignment horizontal="right"/>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Normal 2"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dxfs count="15">
    <dxf>
      <font>
        <color indexed="55"/>
      </font>
      <fill>
        <patternFill>
          <bgColor indexed="55"/>
        </patternFill>
      </fill>
    </dxf>
    <dxf>
      <font>
        <b/>
        <i val="0"/>
        <color indexed="55"/>
      </font>
      <fill>
        <patternFill>
          <bgColor indexed="55"/>
        </patternFill>
      </fill>
    </dxf>
    <dxf>
      <font>
        <color indexed="55"/>
      </font>
      <fill>
        <patternFill>
          <bgColor indexed="55"/>
        </patternFill>
      </fill>
    </dxf>
    <dxf>
      <font>
        <b/>
        <i val="0"/>
        <color indexed="55"/>
      </font>
      <fill>
        <patternFill>
          <bgColor indexed="55"/>
        </patternFill>
      </fill>
    </dxf>
    <dxf>
      <font>
        <color indexed="55"/>
      </font>
      <fill>
        <patternFill>
          <bgColor indexed="55"/>
        </patternFill>
      </fill>
    </dxf>
    <dxf>
      <font>
        <b/>
        <i val="0"/>
        <color indexed="55"/>
      </font>
      <fill>
        <patternFill>
          <bgColor indexed="55"/>
        </patternFill>
      </fill>
    </dxf>
    <dxf>
      <font>
        <color indexed="9"/>
      </font>
      <fill>
        <patternFill>
          <bgColor indexed="9"/>
        </patternFill>
      </fill>
      <border>
        <left/>
        <right/>
        <top/>
        <bottom/>
      </border>
    </dxf>
    <dxf>
      <font>
        <color indexed="9"/>
      </font>
      <fill>
        <patternFill>
          <bgColor indexed="9"/>
        </patternFill>
      </fill>
      <border>
        <left/>
        <right/>
        <top/>
        <bottom/>
      </border>
    </dxf>
    <dxf>
      <fill>
        <patternFill>
          <bgColor indexed="47"/>
        </patternFill>
      </fill>
      <border>
        <left style="thin"/>
        <right style="thin"/>
        <top style="thin"/>
        <bottom style="thin"/>
      </border>
    </dxf>
    <dxf>
      <border>
        <left style="thin"/>
        <right style="thin"/>
        <top style="thin"/>
        <bottom style="thin"/>
      </border>
    </dxf>
    <dxf>
      <font>
        <color indexed="9"/>
      </font>
      <fill>
        <patternFill patternType="none">
          <bgColor indexed="65"/>
        </patternFill>
      </fill>
      <border>
        <left/>
        <right/>
        <top/>
        <bottom/>
      </border>
    </dxf>
    <dxf>
      <font>
        <b/>
        <i val="0"/>
      </font>
      <fill>
        <patternFill>
          <bgColor indexed="31"/>
        </patternFill>
      </fill>
      <border>
        <left style="thin"/>
        <right style="thin"/>
        <top style="thin"/>
        <bottom style="thin"/>
      </border>
    </dxf>
    <dxf>
      <font>
        <b/>
        <i val="0"/>
      </font>
      <fill>
        <patternFill>
          <bgColor rgb="FFCCCCFF"/>
        </patternFill>
      </fill>
      <border>
        <left style="thin">
          <color rgb="FF000000"/>
        </left>
        <right style="thin">
          <color rgb="FF000000"/>
        </right>
        <top style="thin"/>
        <bottom style="thin">
          <color rgb="FF000000"/>
        </bottom>
      </border>
    </dxf>
    <dxf>
      <border>
        <left style="thin">
          <color rgb="FF000000"/>
        </left>
        <right style="thin">
          <color rgb="FF000000"/>
        </right>
        <top style="thin"/>
        <bottom style="thin">
          <color rgb="FF000000"/>
        </bottom>
      </border>
    </dxf>
    <dxf>
      <fill>
        <patternFill>
          <bgColor rgb="FFFFCC99"/>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325"/>
          <c:w val="1"/>
          <c:h val="0.98675"/>
        </c:manualLayout>
      </c:layout>
      <c:scatterChart>
        <c:scatterStyle val="lineMarker"/>
        <c:varyColors val="0"/>
        <c:ser>
          <c:idx val="0"/>
          <c:order val="0"/>
          <c:tx>
            <c:strRef>
              <c:f>Do_Not_Edit!$L$1</c:f>
              <c:strCache>
                <c:ptCount val="1"/>
                <c:pt idx="0">
                  <c:v>Emissions of HFC-227ea</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Calc!$C$30:$V$30</c:f>
              <c:numCache/>
            </c:numRef>
          </c:xVal>
          <c:yVal>
            <c:numRef>
              <c:f>Calc!$C$42:$V$42</c:f>
              <c:numCache/>
            </c:numRef>
          </c:yVal>
          <c:smooth val="0"/>
        </c:ser>
        <c:ser>
          <c:idx val="1"/>
          <c:order val="1"/>
          <c:tx>
            <c:v>Current Year</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noFill/>
              </a:ln>
            </c:spPr>
          </c:marker>
          <c:xVal>
            <c:numRef>
              <c:f>Do_Not_Edit!$H$8:$H$9</c:f>
              <c:numCache>
                <c:ptCount val="2"/>
                <c:pt idx="0">
                  <c:v>2015</c:v>
                </c:pt>
                <c:pt idx="1">
                  <c:v>2015</c:v>
                </c:pt>
              </c:numCache>
            </c:numRef>
          </c:xVal>
          <c:yVal>
            <c:numRef>
              <c:f>Do_Not_Edit!$I$8:$I$9</c:f>
              <c:numCache>
                <c:ptCount val="2"/>
                <c:pt idx="0">
                  <c:v>0</c:v>
                </c:pt>
                <c:pt idx="1">
                  <c:v>0</c:v>
                </c:pt>
              </c:numCache>
            </c:numRef>
          </c:yVal>
          <c:smooth val="0"/>
        </c:ser>
        <c:axId val="39637939"/>
        <c:axId val="21197132"/>
      </c:scatterChart>
      <c:valAx>
        <c:axId val="39637939"/>
        <c:scaling>
          <c:orientation val="minMax"/>
          <c:max val="2015"/>
          <c:min val="1996"/>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1197132"/>
        <c:crosses val="autoZero"/>
        <c:crossBetween val="midCat"/>
        <c:dispUnits/>
        <c:majorUnit val="2"/>
      </c:valAx>
      <c:valAx>
        <c:axId val="21197132"/>
        <c:scaling>
          <c:orientation val="minMax"/>
        </c:scaling>
        <c:axPos val="l"/>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crossAx val="39637939"/>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0</xdr:colOff>
      <xdr:row>4</xdr:row>
      <xdr:rowOff>47625</xdr:rowOff>
    </xdr:to>
    <xdr:pic>
      <xdr:nvPicPr>
        <xdr:cNvPr id="1" name="Picture 1" descr="NGGIP"/>
        <xdr:cNvPicPr preferRelativeResize="1">
          <a:picLocks noChangeAspect="1"/>
        </xdr:cNvPicPr>
      </xdr:nvPicPr>
      <xdr:blipFill>
        <a:blip r:embed="rId1"/>
        <a:stretch>
          <a:fillRect/>
        </a:stretch>
      </xdr:blipFill>
      <xdr:spPr>
        <a:xfrm>
          <a:off x="0" y="0"/>
          <a:ext cx="6096000"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400050</xdr:colOff>
      <xdr:row>3</xdr:row>
      <xdr:rowOff>47625</xdr:rowOff>
    </xdr:from>
    <xdr:to>
      <xdr:col>19</xdr:col>
      <xdr:colOff>419100</xdr:colOff>
      <xdr:row>23</xdr:row>
      <xdr:rowOff>38100</xdr:rowOff>
    </xdr:to>
    <xdr:graphicFrame>
      <xdr:nvGraphicFramePr>
        <xdr:cNvPr id="1" name="Chart 5"/>
        <xdr:cNvGraphicFramePr/>
      </xdr:nvGraphicFramePr>
      <xdr:xfrm>
        <a:off x="7286625" y="504825"/>
        <a:ext cx="4648200" cy="29527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6:K39"/>
  <sheetViews>
    <sheetView showGridLines="0" tabSelected="1" zoomScalePageLayoutView="0" workbookViewId="0" topLeftCell="A1">
      <selection activeCell="B30" sqref="B30"/>
    </sheetView>
  </sheetViews>
  <sheetFormatPr defaultColWidth="9.140625" defaultRowHeight="12.75"/>
  <sheetData>
    <row r="6" spans="1:10" ht="18">
      <c r="A6" s="110" t="s">
        <v>19</v>
      </c>
      <c r="B6" s="110"/>
      <c r="C6" s="110"/>
      <c r="D6" s="110"/>
      <c r="E6" s="110"/>
      <c r="F6" s="110"/>
      <c r="G6" s="110"/>
      <c r="H6" s="110"/>
      <c r="I6" s="110"/>
      <c r="J6" s="110"/>
    </row>
    <row r="8" spans="1:10" ht="42.75" customHeight="1">
      <c r="A8" s="113" t="s">
        <v>22</v>
      </c>
      <c r="B8" s="113"/>
      <c r="C8" s="113"/>
      <c r="D8" s="113"/>
      <c r="E8" s="113"/>
      <c r="F8" s="113"/>
      <c r="G8" s="113"/>
      <c r="H8" s="113"/>
      <c r="I8" s="113"/>
      <c r="J8" s="113"/>
    </row>
    <row r="9" ht="15">
      <c r="A9" s="3" t="s">
        <v>18</v>
      </c>
    </row>
    <row r="11" spans="1:11" ht="12.75">
      <c r="A11" s="2">
        <v>1</v>
      </c>
      <c r="B11" s="112" t="s">
        <v>69</v>
      </c>
      <c r="C11" s="112"/>
      <c r="D11" s="112"/>
      <c r="E11" s="112"/>
      <c r="F11" s="112"/>
      <c r="G11" s="112"/>
      <c r="H11" s="112"/>
      <c r="I11" s="112"/>
      <c r="J11" s="112"/>
      <c r="K11" s="1"/>
    </row>
    <row r="12" spans="1:11" ht="12.75">
      <c r="A12" s="2">
        <f>A11+1</f>
        <v>2</v>
      </c>
      <c r="B12" s="112" t="s">
        <v>25</v>
      </c>
      <c r="C12" s="112"/>
      <c r="D12" s="112"/>
      <c r="E12" s="112"/>
      <c r="F12" s="112"/>
      <c r="G12" s="112"/>
      <c r="H12" s="112"/>
      <c r="I12" s="112"/>
      <c r="J12" s="112"/>
      <c r="K12" s="1"/>
    </row>
    <row r="13" spans="1:11" ht="12.75">
      <c r="A13" s="2">
        <v>3</v>
      </c>
      <c r="B13" s="112" t="s">
        <v>52</v>
      </c>
      <c r="C13" s="112"/>
      <c r="D13" s="112"/>
      <c r="E13" s="112"/>
      <c r="F13" s="112"/>
      <c r="G13" s="112"/>
      <c r="H13" s="112"/>
      <c r="I13" s="112"/>
      <c r="J13" s="112"/>
      <c r="K13" s="1"/>
    </row>
    <row r="14" spans="1:11" ht="12.75">
      <c r="A14" s="2"/>
      <c r="B14" s="14"/>
      <c r="C14" s="114" t="s">
        <v>42</v>
      </c>
      <c r="D14" s="114"/>
      <c r="E14" s="114"/>
      <c r="F14" s="114"/>
      <c r="G14" s="114"/>
      <c r="H14" s="114"/>
      <c r="I14" s="114"/>
      <c r="J14" s="14"/>
      <c r="K14" s="1"/>
    </row>
    <row r="15" spans="1:11" ht="12.75">
      <c r="A15" s="2"/>
      <c r="B15" s="14"/>
      <c r="C15" s="114" t="s">
        <v>43</v>
      </c>
      <c r="D15" s="114"/>
      <c r="E15" s="114"/>
      <c r="F15" s="114"/>
      <c r="G15" s="114"/>
      <c r="H15" s="114"/>
      <c r="I15" s="114"/>
      <c r="J15" s="14"/>
      <c r="K15" s="1"/>
    </row>
    <row r="16" spans="1:11" ht="12.75">
      <c r="A16" s="2"/>
      <c r="B16" s="14"/>
      <c r="C16" s="114" t="s">
        <v>44</v>
      </c>
      <c r="D16" s="114"/>
      <c r="E16" s="114"/>
      <c r="F16" s="114"/>
      <c r="G16" s="114"/>
      <c r="H16" s="114"/>
      <c r="I16" s="114"/>
      <c r="J16" s="14"/>
      <c r="K16" s="1"/>
    </row>
    <row r="17" spans="1:11" ht="12.75">
      <c r="A17" s="2"/>
      <c r="B17" s="14"/>
      <c r="C17" s="114" t="s">
        <v>45</v>
      </c>
      <c r="D17" s="114"/>
      <c r="E17" s="114"/>
      <c r="F17" s="114"/>
      <c r="G17" s="114"/>
      <c r="H17" s="114"/>
      <c r="I17" s="114"/>
      <c r="J17" s="14"/>
      <c r="K17" s="1"/>
    </row>
    <row r="18" spans="1:11" ht="12.75">
      <c r="A18" s="2"/>
      <c r="B18" s="14"/>
      <c r="C18" s="112" t="s">
        <v>46</v>
      </c>
      <c r="D18" s="112"/>
      <c r="E18" s="112"/>
      <c r="F18" s="112"/>
      <c r="G18" s="112"/>
      <c r="H18" s="112"/>
      <c r="I18" s="112"/>
      <c r="J18" s="14"/>
      <c r="K18" s="1"/>
    </row>
    <row r="19" spans="1:11" ht="12.75">
      <c r="A19" s="2">
        <v>4</v>
      </c>
      <c r="B19" s="112" t="s">
        <v>70</v>
      </c>
      <c r="C19" s="112"/>
      <c r="D19" s="112"/>
      <c r="E19" s="112"/>
      <c r="F19" s="112"/>
      <c r="G19" s="112"/>
      <c r="H19" s="112"/>
      <c r="I19" s="112"/>
      <c r="J19" s="112"/>
      <c r="K19" s="1"/>
    </row>
    <row r="20" spans="1:11" ht="43.5" customHeight="1">
      <c r="A20" s="2">
        <v>5</v>
      </c>
      <c r="B20" s="112" t="s">
        <v>65</v>
      </c>
      <c r="C20" s="112"/>
      <c r="D20" s="112"/>
      <c r="E20" s="112"/>
      <c r="F20" s="112"/>
      <c r="G20" s="112"/>
      <c r="H20" s="112"/>
      <c r="I20" s="112"/>
      <c r="J20" s="112"/>
      <c r="K20" s="1"/>
    </row>
    <row r="21" spans="1:11" ht="29.25" customHeight="1">
      <c r="A21" s="2">
        <v>6</v>
      </c>
      <c r="B21" s="112" t="s">
        <v>29</v>
      </c>
      <c r="C21" s="112"/>
      <c r="D21" s="112"/>
      <c r="E21" s="112"/>
      <c r="F21" s="112"/>
      <c r="G21" s="112"/>
      <c r="H21" s="112"/>
      <c r="I21" s="112"/>
      <c r="J21" s="112"/>
      <c r="K21" s="1"/>
    </row>
    <row r="22" spans="1:10" ht="12.75">
      <c r="A22" s="2">
        <v>7</v>
      </c>
      <c r="B22" s="112" t="s">
        <v>64</v>
      </c>
      <c r="C22" s="112"/>
      <c r="D22" s="112"/>
      <c r="E22" s="112"/>
      <c r="F22" s="112"/>
      <c r="G22" s="112"/>
      <c r="H22" s="112"/>
      <c r="I22" s="112"/>
      <c r="J22" s="112"/>
    </row>
    <row r="23" spans="1:10" ht="27.75" customHeight="1">
      <c r="A23" s="2">
        <v>8</v>
      </c>
      <c r="B23" s="112" t="s">
        <v>63</v>
      </c>
      <c r="C23" s="112"/>
      <c r="D23" s="112"/>
      <c r="E23" s="112"/>
      <c r="F23" s="112"/>
      <c r="G23" s="112"/>
      <c r="H23" s="112"/>
      <c r="I23" s="112"/>
      <c r="J23" s="112"/>
    </row>
    <row r="24" spans="1:10" ht="12.75">
      <c r="A24" s="2">
        <v>9</v>
      </c>
      <c r="B24" s="112" t="s">
        <v>62</v>
      </c>
      <c r="C24" s="112"/>
      <c r="D24" s="112"/>
      <c r="E24" s="112"/>
      <c r="F24" s="112"/>
      <c r="G24" s="112"/>
      <c r="H24" s="112"/>
      <c r="I24" s="112"/>
      <c r="J24" s="112"/>
    </row>
    <row r="25" spans="1:10" ht="26.25" customHeight="1">
      <c r="A25" s="2">
        <v>10</v>
      </c>
      <c r="B25" s="112" t="s">
        <v>47</v>
      </c>
      <c r="C25" s="112"/>
      <c r="D25" s="112"/>
      <c r="E25" s="112"/>
      <c r="F25" s="112"/>
      <c r="G25" s="112"/>
      <c r="H25" s="112"/>
      <c r="I25" s="112"/>
      <c r="J25" s="112"/>
    </row>
    <row r="26" spans="1:10" ht="12.75">
      <c r="A26" s="2">
        <v>11</v>
      </c>
      <c r="B26" s="111" t="s">
        <v>66</v>
      </c>
      <c r="C26" s="111"/>
      <c r="D26" s="111"/>
      <c r="E26" s="111"/>
      <c r="F26" s="111"/>
      <c r="G26" s="111"/>
      <c r="H26" s="111"/>
      <c r="I26" s="111"/>
      <c r="J26" s="111"/>
    </row>
    <row r="27" spans="1:10" ht="30" customHeight="1">
      <c r="A27" s="2">
        <v>12</v>
      </c>
      <c r="B27" s="112" t="s">
        <v>24</v>
      </c>
      <c r="C27" s="112"/>
      <c r="D27" s="112"/>
      <c r="E27" s="112"/>
      <c r="F27" s="112"/>
      <c r="G27" s="112"/>
      <c r="H27" s="112"/>
      <c r="I27" s="112"/>
      <c r="J27" s="112"/>
    </row>
    <row r="28" spans="1:10" ht="43.5" customHeight="1">
      <c r="A28" s="2">
        <v>13</v>
      </c>
      <c r="B28" s="112" t="s">
        <v>67</v>
      </c>
      <c r="C28" s="112"/>
      <c r="D28" s="112"/>
      <c r="E28" s="112"/>
      <c r="F28" s="112"/>
      <c r="G28" s="112"/>
      <c r="H28" s="112"/>
      <c r="I28" s="112"/>
      <c r="J28" s="112"/>
    </row>
    <row r="29" spans="1:9" ht="12.75">
      <c r="A29" s="2"/>
      <c r="I29" s="4" t="s">
        <v>20</v>
      </c>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sheetData>
  <sheetProtection selectLockedCells="1" selectUnlockedCells="1"/>
  <mergeCells count="20">
    <mergeCell ref="B28:J28"/>
    <mergeCell ref="C14:I14"/>
    <mergeCell ref="C15:I15"/>
    <mergeCell ref="C16:I16"/>
    <mergeCell ref="C17:I17"/>
    <mergeCell ref="C18:I18"/>
    <mergeCell ref="B25:J25"/>
    <mergeCell ref="B19:J19"/>
    <mergeCell ref="B20:J20"/>
    <mergeCell ref="B27:J27"/>
    <mergeCell ref="A6:J6"/>
    <mergeCell ref="B26:J26"/>
    <mergeCell ref="B13:J13"/>
    <mergeCell ref="B23:J23"/>
    <mergeCell ref="B24:J24"/>
    <mergeCell ref="A8:J8"/>
    <mergeCell ref="B11:J11"/>
    <mergeCell ref="B21:J21"/>
    <mergeCell ref="B22:J22"/>
    <mergeCell ref="B12:J12"/>
  </mergeCells>
  <printOptions/>
  <pageMargins left="0.787" right="0.787" top="0.984" bottom="0.984"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tabColor indexed="42"/>
  </sheetPr>
  <dimension ref="A1:W51"/>
  <sheetViews>
    <sheetView showGridLines="0" zoomScale="75" zoomScaleNormal="75" zoomScalePageLayoutView="0" workbookViewId="0" topLeftCell="A7">
      <pane xSplit="2" topLeftCell="C1" activePane="topRight" state="frozen"/>
      <selection pane="topLeft" activeCell="A1" sqref="A1"/>
      <selection pane="topRight" activeCell="X23" sqref="X23"/>
    </sheetView>
  </sheetViews>
  <sheetFormatPr defaultColWidth="8.8515625" defaultRowHeight="12.75"/>
  <cols>
    <col min="1" max="1" width="1.1484375" style="5" customWidth="1"/>
    <col min="2" max="2" width="39.140625" style="5" bestFit="1" customWidth="1"/>
    <col min="3" max="3" width="7.7109375" style="5" customWidth="1"/>
    <col min="4" max="4" width="8.57421875" style="5" customWidth="1"/>
    <col min="5" max="5" width="8.140625" style="5" customWidth="1"/>
    <col min="6" max="22" width="7.7109375" style="5" customWidth="1"/>
    <col min="23" max="16384" width="8.8515625" style="5" customWidth="1"/>
  </cols>
  <sheetData>
    <row r="1" ht="15.75" thickBot="1">
      <c r="B1" s="17" t="s">
        <v>23</v>
      </c>
    </row>
    <row r="2" spans="2:21" ht="15.75" thickBot="1">
      <c r="B2" s="17" t="str">
        <f>Do_Not_Edit!D1&amp;" - "&amp;Do_Not_Edit!A1</f>
        <v>Country XX - HFC-227ea</v>
      </c>
      <c r="F2" s="117" t="s">
        <v>34</v>
      </c>
      <c r="G2" s="118"/>
      <c r="H2" s="118"/>
      <c r="I2" s="119"/>
      <c r="N2" s="6"/>
      <c r="O2" s="6"/>
      <c r="P2" s="6"/>
      <c r="Q2" s="6"/>
      <c r="R2" s="6"/>
      <c r="S2" s="6"/>
      <c r="T2" s="6"/>
      <c r="U2" s="6"/>
    </row>
    <row r="3" spans="2:21" ht="4.5" customHeight="1">
      <c r="B3" s="29"/>
      <c r="F3" s="35"/>
      <c r="G3" s="36"/>
      <c r="H3" s="37"/>
      <c r="I3" s="38"/>
      <c r="J3" s="6"/>
      <c r="K3" s="7"/>
      <c r="L3" s="8"/>
      <c r="M3" s="8"/>
      <c r="N3" s="8"/>
      <c r="O3" s="8"/>
      <c r="P3" s="8"/>
      <c r="Q3" s="13"/>
      <c r="R3" s="6"/>
      <c r="S3" s="6"/>
      <c r="T3" s="6"/>
      <c r="U3" s="6"/>
    </row>
    <row r="4" spans="1:21" ht="12">
      <c r="A4" s="11"/>
      <c r="B4" s="26"/>
      <c r="F4" s="35"/>
      <c r="G4" s="39" t="s">
        <v>36</v>
      </c>
      <c r="H4" s="40" t="str">
        <f>Data!C2</f>
        <v>Country XX</v>
      </c>
      <c r="I4" s="38"/>
      <c r="J4" s="6"/>
      <c r="K4" s="7"/>
      <c r="L4" s="8"/>
      <c r="M4" s="8"/>
      <c r="N4" s="8"/>
      <c r="O4" s="8"/>
      <c r="P4" s="8"/>
      <c r="Q4" s="6"/>
      <c r="R4" s="6"/>
      <c r="S4" s="6"/>
      <c r="T4" s="6"/>
      <c r="U4" s="6"/>
    </row>
    <row r="5" spans="1:21" ht="12">
      <c r="A5" s="11"/>
      <c r="B5" s="26"/>
      <c r="F5" s="35"/>
      <c r="G5" s="39" t="s">
        <v>35</v>
      </c>
      <c r="H5" s="40" t="str">
        <f>Do_Not_Edit!A1</f>
        <v>HFC-227ea</v>
      </c>
      <c r="I5" s="38"/>
      <c r="N5" s="8"/>
      <c r="O5" s="8"/>
      <c r="P5" s="8"/>
      <c r="Q5" s="6"/>
      <c r="R5" s="6"/>
      <c r="S5" s="6"/>
      <c r="T5" s="6"/>
      <c r="U5" s="6"/>
    </row>
    <row r="6" spans="1:21" ht="12">
      <c r="A6" s="11"/>
      <c r="B6" s="27"/>
      <c r="F6" s="35"/>
      <c r="G6" s="39" t="s">
        <v>37</v>
      </c>
      <c r="H6" s="40">
        <f>Current</f>
        <v>2015</v>
      </c>
      <c r="I6" s="38"/>
      <c r="J6" s="6"/>
      <c r="K6" s="8"/>
      <c r="L6" s="8"/>
      <c r="M6" s="8"/>
      <c r="N6" s="8"/>
      <c r="O6" s="8"/>
      <c r="P6" s="8"/>
      <c r="Q6" s="6"/>
      <c r="R6" s="6"/>
      <c r="S6" s="6"/>
      <c r="T6" s="6"/>
      <c r="U6" s="6"/>
    </row>
    <row r="7" spans="1:21" ht="15.75">
      <c r="A7" s="11"/>
      <c r="B7" s="27"/>
      <c r="F7" s="46"/>
      <c r="G7" s="47" t="s">
        <v>38</v>
      </c>
      <c r="H7" s="48" t="str">
        <f ca="1">ROUND(OFFSET(C42,0,Current-1996),1)&amp;" tonnes"</f>
        <v>0 tonnes</v>
      </c>
      <c r="I7" s="104"/>
      <c r="J7" s="105"/>
      <c r="K7" s="105"/>
      <c r="L7" s="105"/>
      <c r="M7" s="105"/>
      <c r="N7" s="105"/>
      <c r="O7" s="8"/>
      <c r="P7" s="8"/>
      <c r="Q7" s="6"/>
      <c r="R7" s="6"/>
      <c r="S7" s="6"/>
      <c r="T7" s="6"/>
      <c r="U7" s="6"/>
    </row>
    <row r="8" spans="1:21" ht="4.5" customHeight="1" thickBot="1">
      <c r="A8" s="11"/>
      <c r="B8" s="28"/>
      <c r="F8" s="35"/>
      <c r="G8" s="37"/>
      <c r="H8" s="37"/>
      <c r="I8" s="38"/>
      <c r="K8" s="8"/>
      <c r="L8" s="8"/>
      <c r="M8" s="8"/>
      <c r="N8" s="8"/>
      <c r="O8" s="8"/>
      <c r="P8" s="8"/>
      <c r="Q8" s="6"/>
      <c r="R8" s="6"/>
      <c r="S8" s="6"/>
      <c r="T8" s="6"/>
      <c r="U8" s="6"/>
    </row>
    <row r="9" spans="1:21" ht="11.25" customHeight="1" thickBot="1">
      <c r="A9" s="11"/>
      <c r="B9" s="6"/>
      <c r="C9" s="15"/>
      <c r="D9" s="15"/>
      <c r="E9" s="15"/>
      <c r="F9" s="41"/>
      <c r="G9" s="44" t="s">
        <v>41</v>
      </c>
      <c r="H9" s="45" t="str">
        <f ca="1">ROUND(OFFSET(C41,0,Current-1996),1)&amp;" tonnes"</f>
        <v>0 tonnes</v>
      </c>
      <c r="I9" s="42"/>
      <c r="K9" s="8"/>
      <c r="L9" s="8"/>
      <c r="M9" s="8"/>
      <c r="N9" s="8"/>
      <c r="O9" s="8"/>
      <c r="P9" s="8"/>
      <c r="Q9" s="6"/>
      <c r="R9" s="6"/>
      <c r="S9" s="6"/>
      <c r="T9" s="6"/>
      <c r="U9" s="6"/>
    </row>
    <row r="10" spans="1:21" ht="15" thickBot="1">
      <c r="A10" s="11"/>
      <c r="B10" s="24" t="s">
        <v>0</v>
      </c>
      <c r="C10" s="25">
        <f>Data!C3</f>
        <v>2015</v>
      </c>
      <c r="D10" s="22"/>
      <c r="E10" s="22"/>
      <c r="G10" s="15"/>
      <c r="H10" s="106"/>
      <c r="I10" s="106"/>
      <c r="J10" s="106"/>
      <c r="K10" s="106"/>
      <c r="L10" s="106"/>
      <c r="M10" s="106"/>
      <c r="N10" s="8"/>
      <c r="O10" s="8"/>
      <c r="P10" s="8"/>
      <c r="Q10" s="6"/>
      <c r="R10" s="6"/>
      <c r="S10" s="6"/>
      <c r="T10" s="6"/>
      <c r="U10" s="6"/>
    </row>
    <row r="11" spans="1:19" ht="11.25" customHeight="1" thickBot="1">
      <c r="A11" s="11"/>
      <c r="B11" s="16"/>
      <c r="C11" s="6"/>
      <c r="I11" s="8"/>
      <c r="J11" s="8"/>
      <c r="K11" s="8"/>
      <c r="L11" s="8"/>
      <c r="M11" s="8"/>
      <c r="N11" s="8"/>
      <c r="O11" s="6"/>
      <c r="P11" s="6"/>
      <c r="Q11" s="6"/>
      <c r="R11" s="6"/>
      <c r="S11" s="6"/>
    </row>
    <row r="12" spans="1:19" ht="11.25" customHeight="1">
      <c r="A12" s="11"/>
      <c r="B12" s="9"/>
      <c r="C12" s="115" t="s">
        <v>17</v>
      </c>
      <c r="I12" s="8"/>
      <c r="J12" s="8"/>
      <c r="K12" s="8"/>
      <c r="L12" s="8"/>
      <c r="M12" s="8"/>
      <c r="N12" s="8"/>
      <c r="O12" s="6"/>
      <c r="P12" s="6"/>
      <c r="Q12" s="6"/>
      <c r="R12" s="6"/>
      <c r="S12" s="6"/>
    </row>
    <row r="13" spans="1:19" ht="11.25" customHeight="1">
      <c r="A13" s="11"/>
      <c r="B13" s="9"/>
      <c r="C13" s="116"/>
      <c r="I13" s="8"/>
      <c r="J13" s="8"/>
      <c r="K13" s="8"/>
      <c r="L13" s="8"/>
      <c r="M13" s="8"/>
      <c r="N13" s="8"/>
      <c r="O13" s="6"/>
      <c r="P13" s="6"/>
      <c r="Q13" s="6"/>
      <c r="R13" s="6"/>
      <c r="S13" s="6"/>
    </row>
    <row r="14" spans="1:19" ht="12" customHeight="1" thickBot="1">
      <c r="A14" s="11"/>
      <c r="B14" s="9"/>
      <c r="C14" s="116"/>
      <c r="I14" s="8"/>
      <c r="J14" s="8"/>
      <c r="K14" s="8"/>
      <c r="L14" s="8"/>
      <c r="M14" s="8"/>
      <c r="N14" s="8"/>
      <c r="O14" s="6"/>
      <c r="P14" s="6"/>
      <c r="Q14" s="6"/>
      <c r="R14" s="6"/>
      <c r="S14" s="6"/>
    </row>
    <row r="15" spans="1:19" ht="15" thickBot="1">
      <c r="A15" s="11"/>
      <c r="B15" s="23" t="str">
        <f>"Use in current year - "&amp;Current&amp;" (tonnes)"</f>
        <v>Use in current year - 2015 (tonnes)</v>
      </c>
      <c r="C15" s="116"/>
      <c r="I15" s="8"/>
      <c r="J15" s="8"/>
      <c r="K15" s="8"/>
      <c r="L15" s="8"/>
      <c r="M15" s="8"/>
      <c r="N15" s="8"/>
      <c r="O15" s="6"/>
      <c r="P15" s="6"/>
      <c r="Q15" s="6"/>
      <c r="R15" s="6"/>
      <c r="S15" s="6"/>
    </row>
    <row r="16" spans="1:19" ht="11.25" customHeight="1" thickBot="1">
      <c r="A16" s="11"/>
      <c r="B16" s="19" t="str">
        <f>"Production of "&amp;Do_Not_Edit!A1</f>
        <v>Production of HFC-227ea</v>
      </c>
      <c r="C16" s="25">
        <f>HLOOKUP(Do_Not_Edit!$A$1,Data!$C$6:$I$17,3,FALSE)</f>
        <v>0</v>
      </c>
      <c r="I16" s="8"/>
      <c r="J16" s="8"/>
      <c r="K16" s="8"/>
      <c r="L16" s="8"/>
      <c r="M16" s="8"/>
      <c r="N16" s="8"/>
      <c r="O16" s="6"/>
      <c r="P16" s="6"/>
      <c r="Q16" s="6"/>
      <c r="R16" s="6"/>
      <c r="S16" s="6"/>
    </row>
    <row r="17" spans="1:19" ht="11.25" customHeight="1" thickBot="1">
      <c r="A17" s="11"/>
      <c r="B17" s="20" t="s">
        <v>31</v>
      </c>
      <c r="C17" s="25">
        <f>HLOOKUP(Do_Not_Edit!$A$1,Data!$C$6:$I$17,4,FALSE)</f>
        <v>0</v>
      </c>
      <c r="I17" s="8"/>
      <c r="J17" s="8"/>
      <c r="K17" s="8"/>
      <c r="L17" s="8"/>
      <c r="M17" s="8"/>
      <c r="N17" s="8"/>
      <c r="O17" s="6"/>
      <c r="P17" s="6"/>
      <c r="Q17" s="6"/>
      <c r="R17" s="6"/>
      <c r="S17" s="6"/>
    </row>
    <row r="18" spans="1:19" ht="11.25" customHeight="1" thickBot="1">
      <c r="A18" s="11"/>
      <c r="B18" s="21" t="s">
        <v>32</v>
      </c>
      <c r="C18" s="25">
        <f>HLOOKUP(Do_Not_Edit!$A$1,Data!$C$6:$I$17,5,FALSE)</f>
        <v>0</v>
      </c>
      <c r="I18" s="8"/>
      <c r="J18" s="8"/>
      <c r="K18" s="8"/>
      <c r="L18" s="8"/>
      <c r="M18" s="8"/>
      <c r="N18" s="8"/>
      <c r="O18" s="6"/>
      <c r="P18" s="6"/>
      <c r="Q18" s="6"/>
      <c r="R18" s="6"/>
      <c r="S18" s="6"/>
    </row>
    <row r="19" spans="1:19" ht="11.25" customHeight="1">
      <c r="A19" s="11"/>
      <c r="B19" s="49" t="s">
        <v>33</v>
      </c>
      <c r="C19" s="50">
        <f>sales+Import_pc-Export_pc</f>
        <v>0</v>
      </c>
      <c r="I19" s="8"/>
      <c r="J19" s="8"/>
      <c r="K19" s="8"/>
      <c r="L19" s="8"/>
      <c r="M19" s="8"/>
      <c r="N19" s="8"/>
      <c r="O19" s="6"/>
      <c r="P19" s="6"/>
      <c r="Q19" s="6"/>
      <c r="R19" s="6"/>
      <c r="S19" s="6"/>
    </row>
    <row r="20" spans="1:19" ht="11.25" customHeight="1" thickBot="1">
      <c r="A20" s="11"/>
      <c r="B20" s="34"/>
      <c r="C20" s="51"/>
      <c r="I20" s="8"/>
      <c r="J20" s="8"/>
      <c r="K20" s="8"/>
      <c r="L20" s="8"/>
      <c r="M20" s="8"/>
      <c r="N20" s="8"/>
      <c r="O20" s="6"/>
      <c r="P20" s="6"/>
      <c r="Q20" s="6"/>
      <c r="R20" s="6"/>
      <c r="S20" s="6"/>
    </row>
    <row r="21" spans="1:19" ht="11.25" customHeight="1" thickBot="1">
      <c r="A21" s="11"/>
      <c r="B21" s="19" t="str">
        <f>"Year of Introduction of "&amp;Do_Not_Edit!A1</f>
        <v>Year of Introduction of HFC-227ea</v>
      </c>
      <c r="C21" s="25">
        <f>HLOOKUP(Do_Not_Edit!$A$1,Data!$C$6:$I$17,7,FALSE)</f>
        <v>1998</v>
      </c>
      <c r="I21" s="8"/>
      <c r="J21" s="8"/>
      <c r="K21" s="8"/>
      <c r="L21" s="8"/>
      <c r="M21" s="8"/>
      <c r="N21" s="8"/>
      <c r="O21" s="6"/>
      <c r="P21" s="6"/>
      <c r="Q21" s="6"/>
      <c r="R21" s="6"/>
      <c r="S21" s="6"/>
    </row>
    <row r="22" spans="1:19" ht="11.25" customHeight="1" thickBot="1">
      <c r="A22" s="11"/>
      <c r="B22" s="21" t="s">
        <v>39</v>
      </c>
      <c r="C22" s="64">
        <f>HLOOKUP(Do_Not_Edit!$A$1,Data!$C$6:$I$17,8,FALSE)</f>
        <v>0.03</v>
      </c>
      <c r="I22" s="8"/>
      <c r="J22" s="8"/>
      <c r="K22" s="8"/>
      <c r="L22" s="8"/>
      <c r="M22" s="8"/>
      <c r="N22" s="8"/>
      <c r="O22" s="6"/>
      <c r="P22" s="6"/>
      <c r="Q22" s="6"/>
      <c r="R22" s="6"/>
      <c r="S22" s="6"/>
    </row>
    <row r="23" spans="1:21" ht="11.25" customHeight="1">
      <c r="A23" s="11"/>
      <c r="B23" s="9"/>
      <c r="C23" s="15"/>
      <c r="D23" s="22"/>
      <c r="E23" s="22"/>
      <c r="K23" s="8"/>
      <c r="L23" s="8"/>
      <c r="M23" s="8"/>
      <c r="N23" s="8"/>
      <c r="O23" s="8"/>
      <c r="P23" s="8"/>
      <c r="Q23" s="6"/>
      <c r="R23" s="6"/>
      <c r="S23" s="6"/>
      <c r="T23" s="6"/>
      <c r="U23" s="6"/>
    </row>
    <row r="24" spans="1:21" ht="11.25" customHeight="1" thickBot="1">
      <c r="A24" s="11"/>
      <c r="B24" s="9"/>
      <c r="C24" s="15"/>
      <c r="D24" s="22"/>
      <c r="E24" s="22"/>
      <c r="K24" s="8"/>
      <c r="L24" s="8"/>
      <c r="M24" s="8"/>
      <c r="N24" s="8"/>
      <c r="O24" s="8"/>
      <c r="P24" s="8"/>
      <c r="Q24" s="6"/>
      <c r="R24" s="6"/>
      <c r="S24" s="6"/>
      <c r="T24" s="6"/>
      <c r="U24" s="6"/>
    </row>
    <row r="25" spans="1:21" ht="15" thickBot="1">
      <c r="A25" s="11"/>
      <c r="B25" s="24" t="s">
        <v>21</v>
      </c>
      <c r="C25" s="43"/>
      <c r="D25" s="22"/>
      <c r="E25" s="22"/>
      <c r="K25" s="8"/>
      <c r="L25" s="8"/>
      <c r="M25" s="8"/>
      <c r="N25" s="8"/>
      <c r="O25" s="8"/>
      <c r="P25" s="8"/>
      <c r="Q25" s="6"/>
      <c r="R25" s="6"/>
      <c r="S25" s="6"/>
      <c r="T25" s="6"/>
      <c r="U25" s="6"/>
    </row>
    <row r="26" spans="1:21" ht="11.25" customHeight="1" thickBot="1">
      <c r="A26" s="11"/>
      <c r="B26" s="20" t="s">
        <v>40</v>
      </c>
      <c r="C26" s="25">
        <f>HLOOKUP(Do_Not_Edit!$A$1,Data!$C$6:$I$17,10,FALSE)</f>
        <v>5</v>
      </c>
      <c r="D26" s="22"/>
      <c r="E26" s="22"/>
      <c r="K26" s="8"/>
      <c r="L26" s="8"/>
      <c r="M26" s="8"/>
      <c r="N26" s="8"/>
      <c r="O26" s="8"/>
      <c r="P26" s="8"/>
      <c r="Q26" s="6"/>
      <c r="R26" s="6"/>
      <c r="S26" s="6"/>
      <c r="T26" s="6"/>
      <c r="U26" s="6"/>
    </row>
    <row r="27" spans="1:21" ht="11.25" customHeight="1" thickBot="1">
      <c r="A27" s="11"/>
      <c r="B27" s="20" t="s">
        <v>9</v>
      </c>
      <c r="C27" s="61">
        <f>HLOOKUP(Do_Not_Edit!$A$1,Data!$C$6:$I$17,11,FALSE)</f>
        <v>0.04</v>
      </c>
      <c r="D27" s="22"/>
      <c r="E27" s="22"/>
      <c r="K27" s="8"/>
      <c r="L27" s="8"/>
      <c r="M27" s="8"/>
      <c r="N27" s="8"/>
      <c r="O27" s="8"/>
      <c r="P27" s="8"/>
      <c r="Q27" s="6"/>
      <c r="R27" s="6"/>
      <c r="S27" s="6"/>
      <c r="T27" s="6"/>
      <c r="U27" s="6"/>
    </row>
    <row r="28" spans="1:21" ht="11.25" customHeight="1" thickBot="1">
      <c r="A28" s="11"/>
      <c r="B28" s="21" t="str">
        <f>"% of "&amp;Do_Not_Edit!A1&amp;" destroyed at End-of-Life"</f>
        <v>% of HFC-227ea destroyed at End-of-Life</v>
      </c>
      <c r="C28" s="61">
        <f>HLOOKUP(Do_Not_Edit!$A$1,Data!$C$6:$I$17,12,FALSE)</f>
        <v>0.25</v>
      </c>
      <c r="D28" s="22"/>
      <c r="E28" s="22"/>
      <c r="K28" s="8"/>
      <c r="L28" s="8"/>
      <c r="M28" s="8"/>
      <c r="N28" s="8"/>
      <c r="O28" s="8"/>
      <c r="P28" s="8"/>
      <c r="Q28" s="6"/>
      <c r="R28" s="6"/>
      <c r="S28" s="6"/>
      <c r="T28" s="6"/>
      <c r="U28" s="6"/>
    </row>
    <row r="29" spans="1:21" ht="11.25" customHeight="1">
      <c r="A29" s="11"/>
      <c r="D29" s="22"/>
      <c r="E29" s="22"/>
      <c r="K29" s="8"/>
      <c r="L29" s="77"/>
      <c r="M29" s="8"/>
      <c r="N29" s="8"/>
      <c r="O29" s="8"/>
      <c r="P29" s="8"/>
      <c r="Q29" s="6"/>
      <c r="R29" s="6"/>
      <c r="S29" s="6"/>
      <c r="T29" s="6"/>
      <c r="U29" s="6"/>
    </row>
    <row r="30" spans="2:22" s="15" customFormat="1" ht="12">
      <c r="B30" s="30" t="s">
        <v>61</v>
      </c>
      <c r="C30" s="12">
        <v>1996</v>
      </c>
      <c r="D30" s="12">
        <v>1997</v>
      </c>
      <c r="E30" s="12">
        <v>1998</v>
      </c>
      <c r="F30" s="12">
        <v>1999</v>
      </c>
      <c r="G30" s="12">
        <v>2000</v>
      </c>
      <c r="H30" s="12">
        <v>2001</v>
      </c>
      <c r="I30" s="12">
        <v>2002</v>
      </c>
      <c r="J30" s="12">
        <v>2003</v>
      </c>
      <c r="K30" s="12">
        <v>2004</v>
      </c>
      <c r="L30" s="12">
        <v>2005</v>
      </c>
      <c r="M30" s="12">
        <v>2006</v>
      </c>
      <c r="N30" s="12">
        <v>2007</v>
      </c>
      <c r="O30" s="12">
        <v>2008</v>
      </c>
      <c r="P30" s="12">
        <v>2009</v>
      </c>
      <c r="Q30" s="12">
        <v>2010</v>
      </c>
      <c r="R30" s="12">
        <v>2011</v>
      </c>
      <c r="S30" s="12">
        <v>2012</v>
      </c>
      <c r="T30" s="12">
        <v>2013</v>
      </c>
      <c r="U30" s="12">
        <v>2014</v>
      </c>
      <c r="V30" s="12">
        <v>2015</v>
      </c>
    </row>
    <row r="31" spans="2:22" ht="12">
      <c r="B31" s="31" t="str">
        <f>Do_Not_Edit!B21</f>
        <v>Production</v>
      </c>
      <c r="C31" s="12">
        <f>IF(C$30&lt;Start,0,IF(C$30&gt;Current,0,IF(C$30=Current,Production,IF(ISNUMBER(Do_Not_Edit!C21),Do_Not_Edit!C21,IF(COUNTBLANK(Do_Not_Edit!$C21:C21)=(C$30-$C$30+1),D31/(1+Growth)*(C$30-Start+1)/(D$30-Start+1),(D31+B31)/2)))))</f>
        <v>0</v>
      </c>
      <c r="D31" s="12">
        <f>IF(D$30&lt;Start,0,IF(D$30&gt;Current,0,IF(D$30=Current,Production,IF(ISNUMBER(Do_Not_Edit!D21),Do_Not_Edit!D21,IF(COUNTBLANK(Do_Not_Edit!$C21:D21)=(D$30-$C$30+1),E31/(1+Growth)*(D$30-Start+1)/(E$30-Start+1),(E31+C31)/2)))))</f>
        <v>0</v>
      </c>
      <c r="E31" s="12">
        <f>IF(E$30&lt;Start,0,IF(E$30&gt;Current,0,IF(E$30=Current,Production,IF(ISNUMBER(Do_Not_Edit!E21),Do_Not_Edit!E21,IF(COUNTBLANK(Do_Not_Edit!$C21:E21)=(E$30-$C$30+1),F31/(1+Growth)*(E$30-Start+1)/(F$30-Start+1),(F31+D31)/2)))))</f>
        <v>10</v>
      </c>
      <c r="F31" s="12">
        <f>IF(F$30&lt;Start,0,IF(F$30&gt;Current,0,IF(F$30=Current,Production,IF(ISNUMBER(Do_Not_Edit!F21),Do_Not_Edit!F21,IF(COUNTBLANK(Do_Not_Edit!$C21:F21)=(F$30-$C$30+1),G31/(1+Growth)*(F$30-Start+1)/(G$30-Start+1),(G31+E31)/2)))))</f>
        <v>50</v>
      </c>
      <c r="G31" s="12">
        <f>IF(G$30&lt;Start,0,IF(G$30&gt;Current,0,IF(G$30=Current,Production,IF(ISNUMBER(Do_Not_Edit!G21),Do_Not_Edit!G21,IF(COUNTBLANK(Do_Not_Edit!$C21:G21)=(G$30-$C$30+1),H31/(1+Growth)*(G$30-Start+1)/(H$30-Start+1),(H31+F31)/2)))))</f>
        <v>150</v>
      </c>
      <c r="H31" s="12">
        <f>IF(H$30&lt;Start,0,IF(H$30&gt;Current,0,IF(H$30=Current,Production,IF(ISNUMBER(Do_Not_Edit!H21),Do_Not_Edit!H21,IF(COUNTBLANK(Do_Not_Edit!$C21:H21)=(H$30-$C$30+1),I31/(1+Growth)*(H$30-Start+1)/(I$30-Start+1),(I31+G31)/2)))))</f>
        <v>350</v>
      </c>
      <c r="I31" s="12">
        <f>IF(I$30&lt;Start,0,IF(I$30&gt;Current,0,IF(I$30=Current,Production,IF(ISNUMBER(Do_Not_Edit!I21),Do_Not_Edit!I21,IF(COUNTBLANK(Do_Not_Edit!$C21:I21)=(I$30-$C$30+1),J31/(1+Growth)*(I$30-Start+1)/(J$30-Start+1),(J31+H31)/2)))))</f>
        <v>600</v>
      </c>
      <c r="J31" s="12">
        <f>IF(J$30&lt;Start,0,IF(J$30&gt;Current,0,IF(J$30=Current,Production,IF(ISNUMBER(Do_Not_Edit!J21),Do_Not_Edit!J21,IF(COUNTBLANK(Do_Not_Edit!$C21:J21)=(J$30-$C$30+1),K31/(1+Growth)*(J$30-Start+1)/(K$30-Start+1),(K31+I31)/2)))))</f>
        <v>500</v>
      </c>
      <c r="K31" s="12">
        <f>IF(K$30&lt;Start,0,IF(K$30&gt;Current,0,IF(K$30=Current,Production,IF(ISNUMBER(Do_Not_Edit!K21),Do_Not_Edit!K21,IF(COUNTBLANK(Do_Not_Edit!$C21:K21)=(K$30-$C$30+1),L31/(1+Growth)*(K$30-Start+1)/(L$30-Start+1),(L31+J31)/2)))))</f>
        <v>400</v>
      </c>
      <c r="L31" s="12">
        <f>IF(L$30&lt;Start,0,IF(L$30&gt;Current,0,IF(L$30=Current,Production,IF(ISNUMBER(Do_Not_Edit!L21),Do_Not_Edit!L21,IF(COUNTBLANK(Do_Not_Edit!$C21:L21)=(L$30-$C$30+1),M31/(1+Growth)*(L$30-Start+1)/(M$30-Start+1),(M31+K31)/2)))))</f>
        <v>180</v>
      </c>
      <c r="M31" s="12">
        <f>IF(M$30&lt;Start,0,IF(M$30&gt;Current,0,IF(M$30=Current,Production,IF(ISNUMBER(Do_Not_Edit!M21),Do_Not_Edit!M21,IF(COUNTBLANK(Do_Not_Edit!$C21:M21)=(M$30-$C$30+1),N31/(1+Growth)*(M$30-Start+1)/(N$30-Start+1),(N31+L31)/2)))))</f>
        <v>70</v>
      </c>
      <c r="N31" s="12">
        <f>IF(N$30&lt;Start,0,IF(N$30&gt;Current,0,IF(N$30=Current,Production,IF(ISNUMBER(Do_Not_Edit!N21),Do_Not_Edit!N21,IF(COUNTBLANK(Do_Not_Edit!$C21:N21)=(N$30-$C$30+1),O31/(1+Growth)*(N$30-Start+1)/(O$30-Start+1),(O31+M31)/2)))))</f>
        <v>50</v>
      </c>
      <c r="O31" s="12">
        <f>IF(O$30&lt;Start,0,IF(O$30&gt;Current,0,IF(O$30=Current,Production,IF(ISNUMBER(Do_Not_Edit!O21),Do_Not_Edit!O21,IF(COUNTBLANK(Do_Not_Edit!$C21:O21)=(O$30-$C$30+1),P31/(1+Growth)*(O$30-Start+1)/(P$30-Start+1),(P31+N31)/2)))))</f>
        <v>20</v>
      </c>
      <c r="P31" s="12">
        <f>IF(P$30&lt;Start,0,IF(P$30&gt;Current,0,IF(P$30=Current,Production,IF(ISNUMBER(Do_Not_Edit!P21),Do_Not_Edit!P21,IF(COUNTBLANK(Do_Not_Edit!$C21:P21)=(P$30-$C$30+1),Q31/(1+Growth)*(P$30-Start+1)/(Q$30-Start+1),(Q31+O31)/2)))))</f>
        <v>0</v>
      </c>
      <c r="Q31" s="12">
        <f>IF(Q$30&lt;Start,0,IF(Q$30&gt;Current,0,IF(Q$30=Current,Production,IF(ISNUMBER(Do_Not_Edit!Q21),Do_Not_Edit!Q21,IF(COUNTBLANK(Do_Not_Edit!$C21:Q21)=(Q$30-$C$30+1),R31/(1+Growth)*(Q$30-Start+1)/(R$30-Start+1),(R31+P31)/2)))))</f>
        <v>0</v>
      </c>
      <c r="R31" s="12">
        <f>IF(R$30&lt;Start,0,IF(R$30&gt;Current,0,IF(R$30=Current,Production,IF(ISNUMBER(Do_Not_Edit!R21),Do_Not_Edit!R21,IF(COUNTBLANK(Do_Not_Edit!$C21:R21)=(R$30-$C$30+1),S31/(1+Growth)*(R$30-Start+1)/(S$30-Start+1),(S31+Q31)/2)))))</f>
        <v>0</v>
      </c>
      <c r="S31" s="12">
        <f>IF(S$30&lt;Start,0,IF(S$30&gt;Current,0,IF(S$30=Current,Production,IF(ISNUMBER(Do_Not_Edit!S21),Do_Not_Edit!S21,IF(COUNTBLANK(Do_Not_Edit!$C21:S21)=(S$30-$C$30+1),T31/(1+Growth)*(S$30-Start+1)/(T$30-Start+1),(T31+R31)/2)))))</f>
        <v>0</v>
      </c>
      <c r="T31" s="12">
        <f>IF(T$30&lt;Start,0,IF(T$30&gt;Current,0,IF(T$30=Current,Production,IF(ISNUMBER(Do_Not_Edit!T21),Do_Not_Edit!T21,IF(COUNTBLANK(Do_Not_Edit!$C21:T21)=(T$30-$C$30+1),U31/(1+Growth)*(T$30-Start+1)/(U$30-Start+1),(U31+S31)/2)))))</f>
        <v>0</v>
      </c>
      <c r="U31" s="12">
        <f>IF(U$30&lt;Start,0,IF(U$30&gt;Current,0,IF(U$30=Current,Production,IF(ISNUMBER(Do_Not_Edit!U21),Do_Not_Edit!U21,IF(COUNTBLANK(Do_Not_Edit!$C21:U21)=(U$30-$C$30+1),V31/(1+Growth)*(U$30-Start+1)/(V$30-Start+1),(V31+T31)/2)))))</f>
        <v>0</v>
      </c>
      <c r="V31" s="12">
        <f>IF(V$30&lt;Start,0,IF(V$30&gt;Current,0,IF(V$30=Current,Production,IF(ISNUMBER(Do_Not_Edit!V21),Do_Not_Edit!V21,IF(COUNTBLANK(Do_Not_Edit!$C21:V21)=(V$30-$C$30+1),W31/(1+Growth)*(V$30-Start+1)/(W$30-Start+1),(W31+U31)/2)))))</f>
        <v>0</v>
      </c>
    </row>
    <row r="32" spans="2:22" ht="12">
      <c r="B32" s="31" t="str">
        <f>Do_Not_Edit!B22</f>
        <v>Agent in Exports</v>
      </c>
      <c r="C32" s="12">
        <f>IF(C$30&lt;Start,0,IF(C$30&gt;Current,0,IF(C$30=Current,Exports,IF(ISNUMBER(Do_Not_Edit!C22),Do_Not_Edit!C22,IF(COUNTBLANK(Do_Not_Edit!$C22:C22)=(C$30-$C$30+1),D32/(1+Growth)*(C$30-Start+1)/(D$30-Start+1),(D32+B32)/2)))))</f>
        <v>0</v>
      </c>
      <c r="D32" s="12">
        <f>IF(D$30&lt;Start,0,IF(D$30&gt;Current,0,IF(D$30=Current,Exports,IF(ISNUMBER(Do_Not_Edit!D22),Do_Not_Edit!D22,IF(COUNTBLANK(Do_Not_Edit!$C22:D22)=(D$30-$C$30+1),E32/(1+Growth)*(D$30-Start+1)/(E$30-Start+1),(E32+C32)/2)))))</f>
        <v>0</v>
      </c>
      <c r="E32" s="12">
        <f>IF(E$30&lt;Start,0,IF(E$30&gt;Current,0,IF(E$30=Current,Exports,IF(ISNUMBER(Do_Not_Edit!E22),Do_Not_Edit!E22,IF(COUNTBLANK(Do_Not_Edit!$C22:E22)=(E$30-$C$30+1),F32/(1+Growth)*(E$30-Start+1)/(F$30-Start+1),(F32+D32)/2)))))</f>
        <v>0</v>
      </c>
      <c r="F32" s="12">
        <f>IF(F$30&lt;Start,0,IF(F$30&gt;Current,0,IF(F$30=Current,Exports,IF(ISNUMBER(Do_Not_Edit!F22),Do_Not_Edit!F22,IF(COUNTBLANK(Do_Not_Edit!$C22:F22)=(F$30-$C$30+1),G32/(1+Growth)*(F$30-Start+1)/(G$30-Start+1),(G32+E32)/2)))))</f>
        <v>0</v>
      </c>
      <c r="G32" s="12">
        <f>IF(G$30&lt;Start,0,IF(G$30&gt;Current,0,IF(G$30=Current,Exports,IF(ISNUMBER(Do_Not_Edit!G22),Do_Not_Edit!G22,IF(COUNTBLANK(Do_Not_Edit!$C22:G22)=(G$30-$C$30+1),H32/(1+Growth)*(G$30-Start+1)/(H$30-Start+1),(H32+F32)/2)))))</f>
        <v>0</v>
      </c>
      <c r="H32" s="12">
        <f>IF(H$30&lt;Start,0,IF(H$30&gt;Current,0,IF(H$30=Current,Exports,IF(ISNUMBER(Do_Not_Edit!H22),Do_Not_Edit!H22,IF(COUNTBLANK(Do_Not_Edit!$C22:H22)=(H$30-$C$30+1),I32/(1+Growth)*(H$30-Start+1)/(I$30-Start+1),(I32+G32)/2)))))</f>
        <v>0</v>
      </c>
      <c r="I32" s="12">
        <f>IF(I$30&lt;Start,0,IF(I$30&gt;Current,0,IF(I$30=Current,Exports,IF(ISNUMBER(Do_Not_Edit!I22),Do_Not_Edit!I22,IF(COUNTBLANK(Do_Not_Edit!$C22:I22)=(I$30-$C$30+1),J32/(1+Growth)*(I$30-Start+1)/(J$30-Start+1),(J32+H32)/2)))))</f>
        <v>0</v>
      </c>
      <c r="J32" s="12">
        <f>IF(J$30&lt;Start,0,IF(J$30&gt;Current,0,IF(J$30=Current,Exports,IF(ISNUMBER(Do_Not_Edit!J22),Do_Not_Edit!J22,IF(COUNTBLANK(Do_Not_Edit!$C22:J22)=(J$30-$C$30+1),K32/(1+Growth)*(J$30-Start+1)/(K$30-Start+1),(K32+I32)/2)))))</f>
        <v>0</v>
      </c>
      <c r="K32" s="12">
        <f>IF(K$30&lt;Start,0,IF(K$30&gt;Current,0,IF(K$30=Current,Exports,IF(ISNUMBER(Do_Not_Edit!K22),Do_Not_Edit!K22,IF(COUNTBLANK(Do_Not_Edit!$C22:K22)=(K$30-$C$30+1),L32/(1+Growth)*(K$30-Start+1)/(L$30-Start+1),(L32+J32)/2)))))</f>
        <v>0</v>
      </c>
      <c r="L32" s="12">
        <f>IF(L$30&lt;Start,0,IF(L$30&gt;Current,0,IF(L$30=Current,Exports,IF(ISNUMBER(Do_Not_Edit!L22),Do_Not_Edit!L22,IF(COUNTBLANK(Do_Not_Edit!$C22:L22)=(L$30-$C$30+1),M32/(1+Growth)*(L$30-Start+1)/(M$30-Start+1),(M32+K32)/2)))))</f>
        <v>0</v>
      </c>
      <c r="M32" s="12">
        <f>IF(M$30&lt;Start,0,IF(M$30&gt;Current,0,IF(M$30=Current,Exports,IF(ISNUMBER(Do_Not_Edit!M22),Do_Not_Edit!M22,IF(COUNTBLANK(Do_Not_Edit!$C22:M22)=(M$30-$C$30+1),N32/(1+Growth)*(M$30-Start+1)/(N$30-Start+1),(N32+L32)/2)))))</f>
        <v>0</v>
      </c>
      <c r="N32" s="12">
        <f>IF(N$30&lt;Start,0,IF(N$30&gt;Current,0,IF(N$30=Current,Exports,IF(ISNUMBER(Do_Not_Edit!N22),Do_Not_Edit!N22,IF(COUNTBLANK(Do_Not_Edit!$C22:N22)=(N$30-$C$30+1),O32/(1+Growth)*(N$30-Start+1)/(O$30-Start+1),(O32+M32)/2)))))</f>
        <v>0</v>
      </c>
      <c r="O32" s="12">
        <f>IF(O$30&lt;Start,0,IF(O$30&gt;Current,0,IF(O$30=Current,Exports,IF(ISNUMBER(Do_Not_Edit!O22),Do_Not_Edit!O22,IF(COUNTBLANK(Do_Not_Edit!$C22:O22)=(O$30-$C$30+1),P32/(1+Growth)*(O$30-Start+1)/(P$30-Start+1),(P32+N32)/2)))))</f>
        <v>0</v>
      </c>
      <c r="P32" s="12">
        <f>IF(P$30&lt;Start,0,IF(P$30&gt;Current,0,IF(P$30=Current,Exports,IF(ISNUMBER(Do_Not_Edit!P22),Do_Not_Edit!P22,IF(COUNTBLANK(Do_Not_Edit!$C22:P22)=(P$30-$C$30+1),Q32/(1+Growth)*(P$30-Start+1)/(Q$30-Start+1),(Q32+O32)/2)))))</f>
        <v>0</v>
      </c>
      <c r="Q32" s="12">
        <f>IF(Q$30&lt;Start,0,IF(Q$30&gt;Current,0,IF(Q$30=Current,Exports,IF(ISNUMBER(Do_Not_Edit!Q22),Do_Not_Edit!Q22,IF(COUNTBLANK(Do_Not_Edit!$C22:Q22)=(Q$30-$C$30+1),R32/(1+Growth)*(Q$30-Start+1)/(R$30-Start+1),(R32+P32)/2)))))</f>
        <v>0</v>
      </c>
      <c r="R32" s="12">
        <f>IF(R$30&lt;Start,0,IF(R$30&gt;Current,0,IF(R$30=Current,Exports,IF(ISNUMBER(Do_Not_Edit!R22),Do_Not_Edit!R22,IF(COUNTBLANK(Do_Not_Edit!$C22:R22)=(R$30-$C$30+1),S32/(1+Growth)*(R$30-Start+1)/(S$30-Start+1),(S32+Q32)/2)))))</f>
        <v>0</v>
      </c>
      <c r="S32" s="12">
        <f>IF(S$30&lt;Start,0,IF(S$30&gt;Current,0,IF(S$30=Current,Exports,IF(ISNUMBER(Do_Not_Edit!S22),Do_Not_Edit!S22,IF(COUNTBLANK(Do_Not_Edit!$C22:S22)=(S$30-$C$30+1),T32/(1+Growth)*(S$30-Start+1)/(T$30-Start+1),(T32+R32)/2)))))</f>
        <v>0</v>
      </c>
      <c r="T32" s="12">
        <f>IF(T$30&lt;Start,0,IF(T$30&gt;Current,0,IF(T$30=Current,Exports,IF(ISNUMBER(Do_Not_Edit!T22),Do_Not_Edit!T22,IF(COUNTBLANK(Do_Not_Edit!$C22:T22)=(T$30-$C$30+1),U32/(1+Growth)*(T$30-Start+1)/(U$30-Start+1),(U32+S32)/2)))))</f>
        <v>0</v>
      </c>
      <c r="U32" s="12">
        <f>IF(U$30&lt;Start,0,IF(U$30&gt;Current,0,IF(U$30=Current,Exports,IF(ISNUMBER(Do_Not_Edit!U22),Do_Not_Edit!U22,IF(COUNTBLANK(Do_Not_Edit!$C22:U22)=(U$30-$C$30+1),V32/(1+Growth)*(U$30-Start+1)/(V$30-Start+1),(V32+T32)/2)))))</f>
        <v>0</v>
      </c>
      <c r="V32" s="12">
        <f>IF(V$30&lt;Start,0,IF(V$30&gt;Current,0,IF(V$30=Current,Exports,IF(ISNUMBER(Do_Not_Edit!V22),Do_Not_Edit!V22,IF(COUNTBLANK(Do_Not_Edit!$C22:V22)=(V$30-$C$30+1),W32/(1+Growth)*(V$30-Start+1)/(W$30-Start+1),(W32+U32)/2)))))</f>
        <v>0</v>
      </c>
    </row>
    <row r="33" spans="2:22" ht="12">
      <c r="B33" s="31" t="str">
        <f>Do_Not_Edit!B23</f>
        <v>Agent in Imports</v>
      </c>
      <c r="C33" s="12">
        <f>IF(C$30&lt;Start,0,IF(C$30&gt;Current,0,IF(C$30=Current,Imports,IF(ISNUMBER(Do_Not_Edit!C23),Do_Not_Edit!C23,IF(COUNTBLANK(Do_Not_Edit!$C23:C23)=(C$30-$C$30+1),D33/(1+Growth)*(C$30-Start+1)/(D$30-Start+1),(D33+B33)/2)))))</f>
        <v>0</v>
      </c>
      <c r="D33" s="12">
        <f>IF(D$30&lt;Start,0,IF(D$30&gt;Current,0,IF(D$30=Current,Imports,IF(ISNUMBER(Do_Not_Edit!D23),Do_Not_Edit!D23,IF(COUNTBLANK(Do_Not_Edit!$C23:D23)=(D$30-$C$30+1),E33/(1+Growth)*(D$30-Start+1)/(E$30-Start+1),(E33+C33)/2)))))</f>
        <v>0</v>
      </c>
      <c r="E33" s="12">
        <f>IF(E$30&lt;Start,0,IF(E$30&gt;Current,0,IF(E$30=Current,Imports,IF(ISNUMBER(Do_Not_Edit!E23),Do_Not_Edit!E23,IF(COUNTBLANK(Do_Not_Edit!$C23:E23)=(E$30-$C$30+1),F33/(1+Growth)*(E$30-Start+1)/(F$30-Start+1),(F33+D33)/2)))))</f>
        <v>50</v>
      </c>
      <c r="F33" s="12">
        <f>IF(F$30&lt;Start,0,IF(F$30&gt;Current,0,IF(F$30=Current,Imports,IF(ISNUMBER(Do_Not_Edit!F23),Do_Not_Edit!F23,IF(COUNTBLANK(Do_Not_Edit!$C23:F23)=(F$30-$C$30+1),G33/(1+Growth)*(F$30-Start+1)/(G$30-Start+1),(G33+E33)/2)))))</f>
        <v>100</v>
      </c>
      <c r="G33" s="12">
        <f>IF(G$30&lt;Start,0,IF(G$30&gt;Current,0,IF(G$30=Current,Imports,IF(ISNUMBER(Do_Not_Edit!G23),Do_Not_Edit!G23,IF(COUNTBLANK(Do_Not_Edit!$C23:G23)=(G$30-$C$30+1),H33/(1+Growth)*(G$30-Start+1)/(H$30-Start+1),(H33+F33)/2)))))</f>
        <v>150</v>
      </c>
      <c r="H33" s="12">
        <f>IF(H$30&lt;Start,0,IF(H$30&gt;Current,0,IF(H$30=Current,Imports,IF(ISNUMBER(Do_Not_Edit!H23),Do_Not_Edit!H23,IF(COUNTBLANK(Do_Not_Edit!$C23:H23)=(H$30-$C$30+1),I33/(1+Growth)*(H$30-Start+1)/(I$30-Start+1),(I33+G33)/2)))))</f>
        <v>200</v>
      </c>
      <c r="I33" s="12">
        <f>IF(I$30&lt;Start,0,IF(I$30&gt;Current,0,IF(I$30=Current,Imports,IF(ISNUMBER(Do_Not_Edit!I23),Do_Not_Edit!I23,IF(COUNTBLANK(Do_Not_Edit!$C23:I23)=(I$30-$C$30+1),J33/(1+Growth)*(I$30-Start+1)/(J$30-Start+1),(J33+H33)/2)))))</f>
        <v>500</v>
      </c>
      <c r="J33" s="12">
        <f>IF(J$30&lt;Start,0,IF(J$30&gt;Current,0,IF(J$30=Current,Imports,IF(ISNUMBER(Do_Not_Edit!J23),Do_Not_Edit!J23,IF(COUNTBLANK(Do_Not_Edit!$C23:J23)=(J$30-$C$30+1),K33/(1+Growth)*(J$30-Start+1)/(K$30-Start+1),(K33+I33)/2)))))</f>
        <v>200</v>
      </c>
      <c r="K33" s="12">
        <f>IF(K$30&lt;Start,0,IF(K$30&gt;Current,0,IF(K$30=Current,Imports,IF(ISNUMBER(Do_Not_Edit!K23),Do_Not_Edit!K23,IF(COUNTBLANK(Do_Not_Edit!$C23:K23)=(K$30-$C$30+1),L33/(1+Growth)*(K$30-Start+1)/(L$30-Start+1),(L33+J33)/2)))))</f>
        <v>100</v>
      </c>
      <c r="L33" s="12">
        <f>IF(L$30&lt;Start,0,IF(L$30&gt;Current,0,IF(L$30=Current,Imports,IF(ISNUMBER(Do_Not_Edit!L23),Do_Not_Edit!L23,IF(COUNTBLANK(Do_Not_Edit!$C23:L23)=(L$30-$C$30+1),M33/(1+Growth)*(L$30-Start+1)/(M$30-Start+1),(M33+K33)/2)))))</f>
        <v>50</v>
      </c>
      <c r="M33" s="12">
        <f>IF(M$30&lt;Start,0,IF(M$30&gt;Current,0,IF(M$30=Current,Imports,IF(ISNUMBER(Do_Not_Edit!M23),Do_Not_Edit!M23,IF(COUNTBLANK(Do_Not_Edit!$C23:M23)=(M$30-$C$30+1),N33/(1+Growth)*(M$30-Start+1)/(N$30-Start+1),(N33+L33)/2)))))</f>
        <v>10</v>
      </c>
      <c r="N33" s="12">
        <f>IF(N$30&lt;Start,0,IF(N$30&gt;Current,0,IF(N$30=Current,Imports,IF(ISNUMBER(Do_Not_Edit!N23),Do_Not_Edit!N23,IF(COUNTBLANK(Do_Not_Edit!$C23:N23)=(N$30-$C$30+1),O33/(1+Growth)*(N$30-Start+1)/(O$30-Start+1),(O33+M33)/2)))))</f>
        <v>0</v>
      </c>
      <c r="O33" s="12">
        <f>IF(O$30&lt;Start,0,IF(O$30&gt;Current,0,IF(O$30=Current,Imports,IF(ISNUMBER(Do_Not_Edit!O23),Do_Not_Edit!O23,IF(COUNTBLANK(Do_Not_Edit!$C23:O23)=(O$30-$C$30+1),P33/(1+Growth)*(O$30-Start+1)/(P$30-Start+1),(P33+N33)/2)))))</f>
        <v>0</v>
      </c>
      <c r="P33" s="12">
        <f>IF(P$30&lt;Start,0,IF(P$30&gt;Current,0,IF(P$30=Current,Imports,IF(ISNUMBER(Do_Not_Edit!P23),Do_Not_Edit!P23,IF(COUNTBLANK(Do_Not_Edit!$C23:P23)=(P$30-$C$30+1),Q33/(1+Growth)*(P$30-Start+1)/(Q$30-Start+1),(Q33+O33)/2)))))</f>
        <v>0</v>
      </c>
      <c r="Q33" s="12">
        <f>IF(Q$30&lt;Start,0,IF(Q$30&gt;Current,0,IF(Q$30=Current,Imports,IF(ISNUMBER(Do_Not_Edit!Q23),Do_Not_Edit!Q23,IF(COUNTBLANK(Do_Not_Edit!$C23:Q23)=(Q$30-$C$30+1),R33/(1+Growth)*(Q$30-Start+1)/(R$30-Start+1),(R33+P33)/2)))))</f>
        <v>0</v>
      </c>
      <c r="R33" s="12">
        <f>IF(R$30&lt;Start,0,IF(R$30&gt;Current,0,IF(R$30=Current,Imports,IF(ISNUMBER(Do_Not_Edit!R23),Do_Not_Edit!R23,IF(COUNTBLANK(Do_Not_Edit!$C23:R23)=(R$30-$C$30+1),S33/(1+Growth)*(R$30-Start+1)/(S$30-Start+1),(S33+Q33)/2)))))</f>
        <v>0</v>
      </c>
      <c r="S33" s="12">
        <f>IF(S$30&lt;Start,0,IF(S$30&gt;Current,0,IF(S$30=Current,Imports,IF(ISNUMBER(Do_Not_Edit!S23),Do_Not_Edit!S23,IF(COUNTBLANK(Do_Not_Edit!$C23:S23)=(S$30-$C$30+1),T33/(1+Growth)*(S$30-Start+1)/(T$30-Start+1),(T33+R33)/2)))))</f>
        <v>0</v>
      </c>
      <c r="T33" s="12">
        <f>IF(T$30&lt;Start,0,IF(T$30&gt;Current,0,IF(T$30=Current,Imports,IF(ISNUMBER(Do_Not_Edit!T23),Do_Not_Edit!T23,IF(COUNTBLANK(Do_Not_Edit!$C23:T23)=(T$30-$C$30+1),U33/(1+Growth)*(T$30-Start+1)/(U$30-Start+1),(U33+S33)/2)))))</f>
        <v>0</v>
      </c>
      <c r="U33" s="12">
        <f>IF(U$30&lt;Start,0,IF(U$30&gt;Current,0,IF(U$30=Current,Imports,IF(ISNUMBER(Do_Not_Edit!U23),Do_Not_Edit!U23,IF(COUNTBLANK(Do_Not_Edit!$C23:U23)=(U$30-$C$30+1),V33/(1+Growth)*(U$30-Start+1)/(V$30-Start+1),(V33+T33)/2)))))</f>
        <v>0</v>
      </c>
      <c r="V33" s="12">
        <f>IF(V$30&lt;Start,0,IF(V$30&gt;Current,0,IF(V$30=Current,Imports,IF(ISNUMBER(Do_Not_Edit!V23),Do_Not_Edit!V23,IF(COUNTBLANK(Do_Not_Edit!$C23:V23)=(V$30-$C$30+1),W33/(1+Growth)*(V$30-Start+1)/(W$30-Start+1),(W33+U33)/2)))))</f>
        <v>0</v>
      </c>
    </row>
    <row r="34" spans="3:23" ht="12">
      <c r="C34" s="12"/>
      <c r="D34" s="12"/>
      <c r="E34" s="12"/>
      <c r="F34" s="12"/>
      <c r="G34" s="12"/>
      <c r="H34" s="12"/>
      <c r="I34" s="12"/>
      <c r="J34" s="12"/>
      <c r="K34" s="12"/>
      <c r="L34" s="12"/>
      <c r="M34" s="12"/>
      <c r="N34" s="12"/>
      <c r="O34" s="12"/>
      <c r="P34" s="12"/>
      <c r="Q34" s="12"/>
      <c r="R34" s="12"/>
      <c r="S34" s="12"/>
      <c r="T34" s="12"/>
      <c r="U34" s="12"/>
      <c r="V34" s="12"/>
      <c r="W34" s="108"/>
    </row>
    <row r="35" spans="2:23" ht="12">
      <c r="B35" s="32" t="s">
        <v>10</v>
      </c>
      <c r="C35" s="12">
        <f aca="true" t="shared" si="0" ref="C35:V35">C31+C33-C32</f>
        <v>0</v>
      </c>
      <c r="D35" s="12">
        <f t="shared" si="0"/>
        <v>0</v>
      </c>
      <c r="E35" s="12">
        <f t="shared" si="0"/>
        <v>60</v>
      </c>
      <c r="F35" s="12">
        <f t="shared" si="0"/>
        <v>150</v>
      </c>
      <c r="G35" s="12">
        <f t="shared" si="0"/>
        <v>300</v>
      </c>
      <c r="H35" s="12">
        <f t="shared" si="0"/>
        <v>550</v>
      </c>
      <c r="I35" s="12">
        <f t="shared" si="0"/>
        <v>1100</v>
      </c>
      <c r="J35" s="12">
        <f t="shared" si="0"/>
        <v>700</v>
      </c>
      <c r="K35" s="12">
        <f t="shared" si="0"/>
        <v>500</v>
      </c>
      <c r="L35" s="12">
        <f t="shared" si="0"/>
        <v>230</v>
      </c>
      <c r="M35" s="12">
        <f t="shared" si="0"/>
        <v>80</v>
      </c>
      <c r="N35" s="12">
        <f t="shared" si="0"/>
        <v>50</v>
      </c>
      <c r="O35" s="12">
        <f t="shared" si="0"/>
        <v>20</v>
      </c>
      <c r="P35" s="12">
        <f t="shared" si="0"/>
        <v>0</v>
      </c>
      <c r="Q35" s="12">
        <f t="shared" si="0"/>
        <v>0</v>
      </c>
      <c r="R35" s="12">
        <f t="shared" si="0"/>
        <v>0</v>
      </c>
      <c r="S35" s="12">
        <f t="shared" si="0"/>
        <v>0</v>
      </c>
      <c r="T35" s="12">
        <f t="shared" si="0"/>
        <v>0</v>
      </c>
      <c r="U35" s="12">
        <f t="shared" si="0"/>
        <v>0</v>
      </c>
      <c r="V35" s="12">
        <f t="shared" si="0"/>
        <v>0</v>
      </c>
      <c r="W35" s="109"/>
    </row>
    <row r="36" spans="2:23" ht="12">
      <c r="B36" s="10"/>
      <c r="C36" s="12"/>
      <c r="D36" s="12"/>
      <c r="E36" s="12"/>
      <c r="F36" s="12"/>
      <c r="G36" s="12"/>
      <c r="H36" s="12"/>
      <c r="I36" s="12"/>
      <c r="J36" s="12"/>
      <c r="K36" s="12"/>
      <c r="L36" s="12"/>
      <c r="M36" s="12"/>
      <c r="N36" s="12"/>
      <c r="O36" s="12"/>
      <c r="P36" s="12"/>
      <c r="Q36" s="12"/>
      <c r="R36" s="12"/>
      <c r="S36" s="12"/>
      <c r="T36" s="12"/>
      <c r="U36" s="12"/>
      <c r="V36" s="12"/>
      <c r="W36" s="108"/>
    </row>
    <row r="37" spans="2:23" ht="12">
      <c r="B37" s="33" t="s">
        <v>11</v>
      </c>
      <c r="C37" s="12">
        <f aca="true" ca="1" t="shared" si="1" ref="C37:V37">IF((C30-$C$21)&gt;(Lifetime-1),IF(OFFSET(C47,0,-Lifetime)*(1-ef)&gt;B41*(1-ef),B41*(1-ef),OFFSET(C47,0,-Lifetime)*(1-ef)),0)</f>
        <v>0</v>
      </c>
      <c r="D37" s="12">
        <f ca="1" t="shared" si="1"/>
        <v>0</v>
      </c>
      <c r="E37" s="12">
        <f ca="1" t="shared" si="1"/>
        <v>0</v>
      </c>
      <c r="F37" s="12">
        <f ca="1" t="shared" si="1"/>
        <v>0</v>
      </c>
      <c r="G37" s="12">
        <f ca="1" t="shared" si="1"/>
        <v>0</v>
      </c>
      <c r="H37" s="12">
        <f ca="1" t="shared" si="1"/>
        <v>0</v>
      </c>
      <c r="I37" s="12">
        <f ca="1" t="shared" si="1"/>
        <v>0</v>
      </c>
      <c r="J37" s="12">
        <f ca="1" t="shared" si="1"/>
        <v>57.599999999999994</v>
      </c>
      <c r="K37" s="12">
        <f ca="1" t="shared" si="1"/>
        <v>141.696</v>
      </c>
      <c r="L37" s="12">
        <f ca="1" t="shared" si="1"/>
        <v>280.02816</v>
      </c>
      <c r="M37" s="12">
        <f ca="1" t="shared" si="1"/>
        <v>508.82703359999994</v>
      </c>
      <c r="N37" s="12">
        <f ca="1" t="shared" si="1"/>
        <v>1016.473952256</v>
      </c>
      <c r="O37" s="12">
        <f ca="1" t="shared" si="1"/>
        <v>594.1189941657599</v>
      </c>
      <c r="P37" s="12">
        <f ca="1" t="shared" si="1"/>
        <v>384.02207439912956</v>
      </c>
      <c r="Q37" s="12">
        <f ca="1" t="shared" si="1"/>
        <v>111.70770075378935</v>
      </c>
      <c r="R37" s="12">
        <f ca="1" t="shared" si="1"/>
        <v>0</v>
      </c>
      <c r="S37" s="12">
        <f ca="1" t="shared" si="1"/>
        <v>4.3655745685100554E-13</v>
      </c>
      <c r="T37" s="12">
        <f ca="1" t="shared" si="1"/>
        <v>-3.1432136893272397E-13</v>
      </c>
      <c r="U37" s="12">
        <f ca="1" t="shared" si="1"/>
        <v>0</v>
      </c>
      <c r="V37" s="12">
        <f ca="1" t="shared" si="1"/>
        <v>0</v>
      </c>
      <c r="W37" s="108"/>
    </row>
    <row r="38" spans="2:23" ht="12">
      <c r="B38" s="33" t="s">
        <v>12</v>
      </c>
      <c r="C38" s="12">
        <v>0</v>
      </c>
      <c r="D38" s="12">
        <f aca="true" t="shared" si="2" ref="D38:V38">D37*Recovery</f>
        <v>0</v>
      </c>
      <c r="E38" s="12">
        <f t="shared" si="2"/>
        <v>0</v>
      </c>
      <c r="F38" s="12">
        <f t="shared" si="2"/>
        <v>0</v>
      </c>
      <c r="G38" s="12">
        <f t="shared" si="2"/>
        <v>0</v>
      </c>
      <c r="H38" s="12">
        <f t="shared" si="2"/>
        <v>0</v>
      </c>
      <c r="I38" s="12">
        <f t="shared" si="2"/>
        <v>0</v>
      </c>
      <c r="J38" s="12">
        <f t="shared" si="2"/>
        <v>14.399999999999999</v>
      </c>
      <c r="K38" s="12">
        <f t="shared" si="2"/>
        <v>35.424</v>
      </c>
      <c r="L38" s="12">
        <f t="shared" si="2"/>
        <v>70.00704</v>
      </c>
      <c r="M38" s="12">
        <f t="shared" si="2"/>
        <v>127.20675839999998</v>
      </c>
      <c r="N38" s="12">
        <f t="shared" si="2"/>
        <v>254.118488064</v>
      </c>
      <c r="O38" s="12">
        <f t="shared" si="2"/>
        <v>148.52974854143997</v>
      </c>
      <c r="P38" s="12">
        <f t="shared" si="2"/>
        <v>96.00551859978239</v>
      </c>
      <c r="Q38" s="12">
        <f t="shared" si="2"/>
        <v>27.92692518844734</v>
      </c>
      <c r="R38" s="12">
        <f t="shared" si="2"/>
        <v>0</v>
      </c>
      <c r="S38" s="12">
        <f t="shared" si="2"/>
        <v>1.0913936421275138E-13</v>
      </c>
      <c r="T38" s="12">
        <f t="shared" si="2"/>
        <v>-7.858034223318099E-14</v>
      </c>
      <c r="U38" s="12">
        <f t="shared" si="2"/>
        <v>0</v>
      </c>
      <c r="V38" s="12">
        <f t="shared" si="2"/>
        <v>0</v>
      </c>
      <c r="W38" s="109"/>
    </row>
    <row r="39" spans="2:23" ht="12">
      <c r="B39" s="33" t="s">
        <v>13</v>
      </c>
      <c r="C39" s="12">
        <v>0</v>
      </c>
      <c r="D39" s="12">
        <f aca="true" t="shared" si="3" ref="D39:V39">D37-D38</f>
        <v>0</v>
      </c>
      <c r="E39" s="12">
        <f t="shared" si="3"/>
        <v>0</v>
      </c>
      <c r="F39" s="12">
        <f t="shared" si="3"/>
        <v>0</v>
      </c>
      <c r="G39" s="12">
        <f t="shared" si="3"/>
        <v>0</v>
      </c>
      <c r="H39" s="12">
        <f t="shared" si="3"/>
        <v>0</v>
      </c>
      <c r="I39" s="12">
        <f t="shared" si="3"/>
        <v>0</v>
      </c>
      <c r="J39" s="12">
        <f t="shared" si="3"/>
        <v>43.199999999999996</v>
      </c>
      <c r="K39" s="12">
        <f t="shared" si="3"/>
        <v>106.27199999999999</v>
      </c>
      <c r="L39" s="12">
        <f t="shared" si="3"/>
        <v>210.02112</v>
      </c>
      <c r="M39" s="12">
        <f t="shared" si="3"/>
        <v>381.6202751999999</v>
      </c>
      <c r="N39" s="12">
        <f t="shared" si="3"/>
        <v>762.355464192</v>
      </c>
      <c r="O39" s="12">
        <f t="shared" si="3"/>
        <v>445.5892456243199</v>
      </c>
      <c r="P39" s="12">
        <f t="shared" si="3"/>
        <v>288.0165557993472</v>
      </c>
      <c r="Q39" s="12">
        <f t="shared" si="3"/>
        <v>83.78077556534201</v>
      </c>
      <c r="R39" s="12">
        <f t="shared" si="3"/>
        <v>0</v>
      </c>
      <c r="S39" s="12">
        <f t="shared" si="3"/>
        <v>3.2741809263825415E-13</v>
      </c>
      <c r="T39" s="12">
        <f t="shared" si="3"/>
        <v>-2.35741026699543E-13</v>
      </c>
      <c r="U39" s="12">
        <f t="shared" si="3"/>
        <v>0</v>
      </c>
      <c r="V39" s="12">
        <f t="shared" si="3"/>
        <v>0</v>
      </c>
      <c r="W39" s="108"/>
    </row>
    <row r="40" spans="2:23" ht="12">
      <c r="B40" s="11"/>
      <c r="C40" s="12"/>
      <c r="D40" s="12"/>
      <c r="E40" s="12"/>
      <c r="F40" s="12"/>
      <c r="G40" s="12"/>
      <c r="H40" s="12"/>
      <c r="I40" s="12"/>
      <c r="J40" s="12"/>
      <c r="K40" s="12"/>
      <c r="L40" s="12"/>
      <c r="M40" s="12"/>
      <c r="N40" s="12"/>
      <c r="O40" s="12"/>
      <c r="P40" s="12"/>
      <c r="Q40" s="12"/>
      <c r="R40" s="12"/>
      <c r="S40" s="12"/>
      <c r="T40" s="12"/>
      <c r="U40" s="12"/>
      <c r="V40" s="12"/>
      <c r="W40" s="108"/>
    </row>
    <row r="41" spans="2:23" ht="12">
      <c r="B41" s="32" t="s">
        <v>28</v>
      </c>
      <c r="C41" s="12">
        <f>C35</f>
        <v>0</v>
      </c>
      <c r="D41" s="12">
        <f>SUM($C35:D35)-SUM($C38:D38)-SUM($C42:C42)-D39</f>
        <v>0</v>
      </c>
      <c r="E41" s="12">
        <f>SUM($C35:E35)-SUM($C38:E38)-SUM($C42:D42)-E39</f>
        <v>60</v>
      </c>
      <c r="F41" s="12">
        <f>SUM($C35:F35)-SUM($C38:F38)-SUM($C42:E42)-F39</f>
        <v>207.6</v>
      </c>
      <c r="G41" s="12">
        <f>SUM($C35:G35)-SUM($C38:G38)-SUM($C42:F42)-G39</f>
        <v>499.296</v>
      </c>
      <c r="H41" s="12">
        <f>SUM($C35:H35)-SUM($C38:H38)-SUM($C42:G42)-H39</f>
        <v>1029.32416</v>
      </c>
      <c r="I41" s="12">
        <f>SUM($C35:I35)-SUM($C38:I38)-SUM($C42:H42)-I39</f>
        <v>2088.1511936</v>
      </c>
      <c r="J41" s="12">
        <f>SUM($C35:J35)-SUM($C38:J38)-SUM($C42:I42)-J39</f>
        <v>2647.025145856</v>
      </c>
      <c r="K41" s="12">
        <f>SUM($C35:K35)-SUM($C38:K38)-SUM($C42:J42)-K39</f>
        <v>2899.44814002176</v>
      </c>
      <c r="L41" s="12">
        <f>SUM($C35:L35)-SUM($C38:L38)-SUM($C42:K42)-L39</f>
        <v>2733.4420544208897</v>
      </c>
      <c r="M41" s="12">
        <f>SUM($C35:M35)-SUM($C38:M38)-SUM($C42:L42)-M39</f>
        <v>2195.277338644054</v>
      </c>
      <c r="N41" s="12">
        <f>SUM($C35:N35)-SUM($C38:N38)-SUM($C42:M42)-N39</f>
        <v>1140.992292842292</v>
      </c>
      <c r="O41" s="12">
        <f>SUM($C35:O35)-SUM($C38:O38)-SUM($C42:N42)-O39</f>
        <v>521.2336069628406</v>
      </c>
      <c r="P41" s="12">
        <f>SUM($C35:P35)-SUM($C38:P38)-SUM($C42:O42)-P39</f>
        <v>116.36218828519725</v>
      </c>
      <c r="Q41" s="12">
        <f>SUM($C35:Q35)-SUM($C38:Q38)-SUM($C42:P42)-Q39</f>
        <v>5.258016244624741E-13</v>
      </c>
      <c r="R41" s="12">
        <f>SUM($C35:R35)-SUM($C38:R38)-SUM($C42:Q42)-R39</f>
        <v>4.547473508864641E-13</v>
      </c>
      <c r="S41" s="12">
        <f>SUM($C35:S35)-SUM($C38:S38)-SUM($C42:R42)-S39</f>
        <v>-3.2741809263825415E-13</v>
      </c>
      <c r="T41" s="12">
        <f>SUM($C35:T35)-SUM($C38:T38)-SUM($C42:S42)-T39</f>
        <v>2.35741026699543E-13</v>
      </c>
      <c r="U41" s="12">
        <f>SUM($C35:U35)-SUM($C38:U38)-SUM($C42:T42)-U39</f>
        <v>0</v>
      </c>
      <c r="V41" s="12">
        <f>SUM($C35:V35)-SUM($C38:V38)-SUM($C42:U42)-V39</f>
        <v>0</v>
      </c>
      <c r="W41" s="109"/>
    </row>
    <row r="42" spans="2:23" ht="12">
      <c r="B42" s="32" t="s">
        <v>2</v>
      </c>
      <c r="C42" s="12">
        <f aca="true" t="shared" si="4" ref="C42:V42">IF(C30&gt;Current,NA(),C41*ef+C39)</f>
        <v>0</v>
      </c>
      <c r="D42" s="12">
        <f t="shared" si="4"/>
        <v>0</v>
      </c>
      <c r="E42" s="12">
        <f t="shared" si="4"/>
        <v>2.4</v>
      </c>
      <c r="F42" s="12">
        <f t="shared" si="4"/>
        <v>8.304</v>
      </c>
      <c r="G42" s="12">
        <f t="shared" si="4"/>
        <v>19.97184</v>
      </c>
      <c r="H42" s="12">
        <f t="shared" si="4"/>
        <v>41.1729664</v>
      </c>
      <c r="I42" s="12">
        <f t="shared" si="4"/>
        <v>83.52604774400001</v>
      </c>
      <c r="J42" s="12">
        <f t="shared" si="4"/>
        <v>149.08100583424</v>
      </c>
      <c r="K42" s="12">
        <f t="shared" si="4"/>
        <v>222.2499256008704</v>
      </c>
      <c r="L42" s="12">
        <f t="shared" si="4"/>
        <v>319.3588021768356</v>
      </c>
      <c r="M42" s="12">
        <f t="shared" si="4"/>
        <v>469.4313687457621</v>
      </c>
      <c r="N42" s="12">
        <f t="shared" si="4"/>
        <v>807.9951559056917</v>
      </c>
      <c r="O42" s="12">
        <f t="shared" si="4"/>
        <v>466.43858990283354</v>
      </c>
      <c r="P42" s="12">
        <f t="shared" si="4"/>
        <v>292.6710433307551</v>
      </c>
      <c r="Q42" s="12">
        <f t="shared" si="4"/>
        <v>83.78077556534203</v>
      </c>
      <c r="R42" s="12">
        <f t="shared" si="4"/>
        <v>1.8189894035458565E-14</v>
      </c>
      <c r="S42" s="12">
        <f t="shared" si="4"/>
        <v>3.1432136893272397E-13</v>
      </c>
      <c r="T42" s="12">
        <f t="shared" si="4"/>
        <v>-2.2631138563156128E-13</v>
      </c>
      <c r="U42" s="12">
        <f t="shared" si="4"/>
        <v>0</v>
      </c>
      <c r="V42" s="12">
        <f t="shared" si="4"/>
        <v>0</v>
      </c>
      <c r="W42" s="109"/>
    </row>
    <row r="43" spans="3:23" ht="12">
      <c r="C43" s="107"/>
      <c r="D43" s="107"/>
      <c r="E43" s="107"/>
      <c r="F43" s="107"/>
      <c r="G43" s="107"/>
      <c r="H43" s="107"/>
      <c r="I43" s="107"/>
      <c r="J43" s="107"/>
      <c r="K43" s="107"/>
      <c r="L43" s="107"/>
      <c r="M43" s="107"/>
      <c r="N43" s="107"/>
      <c r="O43" s="107"/>
      <c r="P43" s="107"/>
      <c r="Q43" s="107"/>
      <c r="R43" s="107"/>
      <c r="S43" s="107"/>
      <c r="T43" s="107"/>
      <c r="U43" s="107"/>
      <c r="V43" s="107"/>
      <c r="W43" s="109"/>
    </row>
    <row r="44" spans="3:23" ht="12">
      <c r="C44" s="107"/>
      <c r="D44" s="107"/>
      <c r="E44" s="107"/>
      <c r="F44" s="107"/>
      <c r="G44" s="107"/>
      <c r="H44" s="107"/>
      <c r="I44" s="107"/>
      <c r="J44" s="107"/>
      <c r="K44" s="107"/>
      <c r="L44" s="107"/>
      <c r="M44" s="107"/>
      <c r="N44" s="107"/>
      <c r="O44" s="107"/>
      <c r="P44" s="107"/>
      <c r="Q44" s="107"/>
      <c r="R44" s="107"/>
      <c r="S44" s="107"/>
      <c r="T44" s="107"/>
      <c r="U44" s="107"/>
      <c r="V44" s="107"/>
      <c r="W44" s="109"/>
    </row>
    <row r="45" spans="2:22" ht="12">
      <c r="B45" s="129" t="s">
        <v>71</v>
      </c>
      <c r="C45" s="107">
        <f ca="1">IF((C$30-Start)&gt;=Lifetime,(SUM(OFFSET(C$47,0,(1-Lifetime),1,(Lifetime-1)))*ef),(SUM(B$47:$C$47)*ef))</f>
        <v>0</v>
      </c>
      <c r="D45" s="107">
        <f ca="1">IF((D$30-Start)&gt;=Lifetime,(SUM(OFFSET(D$47,0,(1-Lifetime),1,(Lifetime-1)))*ef),(SUM($C$47:C$47)*ef))</f>
        <v>0</v>
      </c>
      <c r="E45" s="107">
        <f ca="1">IF((E$30-Start)&gt;=Lifetime,(SUM(OFFSET(E$47,0,(1-Lifetime),1,(Lifetime-1)))*ef),(SUM($C$47:D$47)*ef))</f>
        <v>0</v>
      </c>
      <c r="F45" s="107">
        <f ca="1">IF((F$30-Start)&gt;=Lifetime,(SUM(OFFSET(F$47,0,(1-Lifetime),1,(Lifetime-1)))*ef),(SUM($C$47:E$47)*ef))</f>
        <v>2.4</v>
      </c>
      <c r="G45" s="107">
        <f ca="1">IF((G$30-Start)&gt;=Lifetime,(SUM(OFFSET(G$47,0,(1-Lifetime),1,(Lifetime-1)))*ef),(SUM($C$47:F$47)*ef))</f>
        <v>8.304</v>
      </c>
      <c r="H45" s="107">
        <f ca="1">IF((H$30-Start)&gt;=Lifetime,(SUM(OFFSET(H$47,0,(1-Lifetime),1,(Lifetime-1)))*ef),(SUM($C$47:G$47)*ef))</f>
        <v>19.971840000000004</v>
      </c>
      <c r="I45" s="107">
        <f ca="1">IF((I$30-Start)&gt;=Lifetime,(SUM(OFFSET(I$47,0,(1-Lifetime),1,(Lifetime-1)))*ef),(SUM($C$47:H$47)*ef))</f>
        <v>41.17296640000001</v>
      </c>
      <c r="J45" s="107">
        <f ca="1">IF((J$30-Start)&gt;=Lifetime,(SUM(OFFSET(J$47,0,(1-Lifetime),1,(Lifetime-1)))*ef),(SUM($C$47:I$47)*ef))</f>
        <v>81.126047744</v>
      </c>
      <c r="K45" s="107">
        <f ca="1">IF((K$30-Start)&gt;=Lifetime,(SUM(OFFSET(K$47,0,(1-Lifetime),1,(Lifetime-1)))*ef),(SUM($C$47:J$47)*ef))</f>
        <v>99.97700583424</v>
      </c>
      <c r="L45" s="107">
        <f ca="1">IF((L$30-Start)&gt;=Lifetime,(SUM(OFFSET(L$47,0,(1-Lifetime),1,(Lifetime-1)))*ef),(SUM($C$47:K$47)*ef))</f>
        <v>104.3100856008704</v>
      </c>
      <c r="M45" s="107">
        <f ca="1">IF((M$30-Start)&gt;=Lifetime,(SUM(OFFSET(M$47,0,(1-Lifetime),1,(Lifetime-1)))*ef),(SUM($C$47:L$47)*ef))</f>
        <v>88.13655577683558</v>
      </c>
      <c r="N45" s="107">
        <f ca="1">IF((N$30-Start)&gt;=Lifetime,(SUM(OFFSET(N$47,0,(1-Lifetime),1,(Lifetime-1)))*ef),(SUM($C$47:M$47)*ef))</f>
        <v>45.78347443283558</v>
      </c>
      <c r="O45" s="107">
        <f ca="1">IF((O$30-Start)&gt;=Lifetime,(SUM(OFFSET(O$47,0,(1-Lifetime),1,(Lifetime-1)))*ef),(SUM($C$47:N$47)*ef))</f>
        <v>21.197177365282165</v>
      </c>
      <c r="P45" s="107">
        <f ca="1">IF((P$30-Start)&gt;=Lifetime,(SUM(OFFSET(P$47,0,(1-Lifetime),1,(Lifetime-1)))*ef),(SUM($C$47:O$47)*ef))</f>
        <v>5.196257598651761</v>
      </c>
      <c r="Q45" s="107">
        <f ca="1">IF((Q$30-Start)&gt;=Lifetime,(SUM(OFFSET(Q$47,0,(1-Lifetime),1,(Lifetime-1)))*ef),(SUM($C$47:P$47)*ef))</f>
        <v>0.1686610226865767</v>
      </c>
      <c r="R45" s="107">
        <f ca="1">IF((R$30-Start)&gt;=Lifetime,(SUM(OFFSET(R$47,0,(1-Lifetime),1,(Lifetime-1)))*ef),(SUM($C$47:Q$47)*ef))</f>
        <v>0.1686610226865767</v>
      </c>
      <c r="S45" s="107">
        <f ca="1">IF((S$30-Start)&gt;=Lifetime,(SUM(OFFSET(S$47,0,(1-Lifetime),1,(Lifetime-1)))*ef),(SUM($C$47:R$47)*ef))</f>
        <v>0</v>
      </c>
      <c r="T45" s="107">
        <f ca="1">IF((T$30-Start)&gt;=Lifetime,(SUM(OFFSET(T$47,0,(1-Lifetime),1,(Lifetime-1)))*ef),(SUM($C$47:S$47)*ef))</f>
        <v>0</v>
      </c>
      <c r="U45" s="107">
        <f ca="1">IF((U$30-Start)&gt;=Lifetime,(SUM(OFFSET(U$47,0,(1-Lifetime),1,(Lifetime-1)))*ef),(SUM($C$47:T$47)*ef))</f>
        <v>0</v>
      </c>
      <c r="V45" s="107">
        <f ca="1">IF((V$30-Start)&gt;=Lifetime,(SUM(OFFSET(V$47,0,(1-Lifetime),1,(Lifetime-1)))*ef),(SUM($C$47:U$47)*ef))</f>
        <v>0</v>
      </c>
    </row>
    <row r="46" spans="2:22" ht="12">
      <c r="B46" s="129" t="s">
        <v>72</v>
      </c>
      <c r="C46" s="107">
        <f>+C35-C45</f>
        <v>0</v>
      </c>
      <c r="D46" s="107">
        <f aca="true" t="shared" si="5" ref="D46:V46">+D35-D45</f>
        <v>0</v>
      </c>
      <c r="E46" s="107">
        <f t="shared" si="5"/>
        <v>60</v>
      </c>
      <c r="F46" s="107">
        <f t="shared" si="5"/>
        <v>147.6</v>
      </c>
      <c r="G46" s="107">
        <f t="shared" si="5"/>
        <v>291.696</v>
      </c>
      <c r="H46" s="107">
        <f t="shared" si="5"/>
        <v>530.02816</v>
      </c>
      <c r="I46" s="107">
        <f t="shared" si="5"/>
        <v>1058.8270336</v>
      </c>
      <c r="J46" s="107">
        <f t="shared" si="5"/>
        <v>618.8739522559999</v>
      </c>
      <c r="K46" s="107">
        <f t="shared" si="5"/>
        <v>400.02299416576</v>
      </c>
      <c r="L46" s="107">
        <f t="shared" si="5"/>
        <v>125.6899143991296</v>
      </c>
      <c r="M46" s="107">
        <f t="shared" si="5"/>
        <v>-8.136555776835579</v>
      </c>
      <c r="N46" s="107">
        <f t="shared" si="5"/>
        <v>4.2165255671644175</v>
      </c>
      <c r="O46" s="107">
        <f t="shared" si="5"/>
        <v>-1.1971773652821653</v>
      </c>
      <c r="P46" s="107">
        <f t="shared" si="5"/>
        <v>-5.196257598651761</v>
      </c>
      <c r="Q46" s="107">
        <f t="shared" si="5"/>
        <v>-0.1686610226865767</v>
      </c>
      <c r="R46" s="107">
        <f t="shared" si="5"/>
        <v>-0.1686610226865767</v>
      </c>
      <c r="S46" s="107">
        <f t="shared" si="5"/>
        <v>0</v>
      </c>
      <c r="T46" s="107">
        <f t="shared" si="5"/>
        <v>0</v>
      </c>
      <c r="U46" s="107">
        <f t="shared" si="5"/>
        <v>0</v>
      </c>
      <c r="V46" s="107">
        <f t="shared" si="5"/>
        <v>0</v>
      </c>
    </row>
    <row r="47" spans="2:22" ht="12">
      <c r="B47" s="129" t="s">
        <v>73</v>
      </c>
      <c r="C47" s="107">
        <f>IF(OR((C35-C45)&lt;0,C45&lt;0),0,C35-C45)</f>
        <v>0</v>
      </c>
      <c r="D47" s="107">
        <f aca="true" t="shared" si="6" ref="D47:V47">IF(OR((D35-D45)&lt;0,D45&lt;0),0,D35-D45)</f>
        <v>0</v>
      </c>
      <c r="E47" s="107">
        <f t="shared" si="6"/>
        <v>60</v>
      </c>
      <c r="F47" s="107">
        <f t="shared" si="6"/>
        <v>147.6</v>
      </c>
      <c r="G47" s="107">
        <f t="shared" si="6"/>
        <v>291.696</v>
      </c>
      <c r="H47" s="107">
        <f t="shared" si="6"/>
        <v>530.02816</v>
      </c>
      <c r="I47" s="107">
        <f t="shared" si="6"/>
        <v>1058.8270336</v>
      </c>
      <c r="J47" s="107">
        <f t="shared" si="6"/>
        <v>618.8739522559999</v>
      </c>
      <c r="K47" s="107">
        <f t="shared" si="6"/>
        <v>400.02299416576</v>
      </c>
      <c r="L47" s="107">
        <f t="shared" si="6"/>
        <v>125.6899143991296</v>
      </c>
      <c r="M47" s="107">
        <f t="shared" si="6"/>
        <v>0</v>
      </c>
      <c r="N47" s="107">
        <f t="shared" si="6"/>
        <v>4.2165255671644175</v>
      </c>
      <c r="O47" s="107">
        <f t="shared" si="6"/>
        <v>0</v>
      </c>
      <c r="P47" s="107">
        <f t="shared" si="6"/>
        <v>0</v>
      </c>
      <c r="Q47" s="107">
        <f t="shared" si="6"/>
        <v>0</v>
      </c>
      <c r="R47" s="107">
        <f t="shared" si="6"/>
        <v>0</v>
      </c>
      <c r="S47" s="107">
        <f t="shared" si="6"/>
        <v>0</v>
      </c>
      <c r="T47" s="107">
        <f t="shared" si="6"/>
        <v>0</v>
      </c>
      <c r="U47" s="107">
        <f t="shared" si="6"/>
        <v>0</v>
      </c>
      <c r="V47" s="107">
        <f t="shared" si="6"/>
        <v>0</v>
      </c>
    </row>
    <row r="49" spans="3:22" ht="12">
      <c r="C49" s="107"/>
      <c r="D49" s="107"/>
      <c r="E49" s="107"/>
      <c r="F49" s="107"/>
      <c r="G49" s="107"/>
      <c r="H49" s="107"/>
      <c r="I49" s="107"/>
      <c r="J49" s="107"/>
      <c r="K49" s="107"/>
      <c r="L49" s="107"/>
      <c r="M49" s="107"/>
      <c r="N49" s="107"/>
      <c r="O49" s="107"/>
      <c r="P49" s="107"/>
      <c r="Q49" s="107"/>
      <c r="R49" s="107"/>
      <c r="S49" s="107"/>
      <c r="T49" s="107"/>
      <c r="U49" s="107"/>
      <c r="V49" s="107"/>
    </row>
    <row r="50" spans="3:22" ht="12">
      <c r="C50" s="107"/>
      <c r="D50" s="107"/>
      <c r="E50" s="107"/>
      <c r="F50" s="107"/>
      <c r="G50" s="107"/>
      <c r="H50" s="107"/>
      <c r="I50" s="107"/>
      <c r="J50" s="107"/>
      <c r="K50" s="107"/>
      <c r="L50" s="107"/>
      <c r="M50" s="107"/>
      <c r="N50" s="107"/>
      <c r="O50" s="107"/>
      <c r="P50" s="107"/>
      <c r="Q50" s="107"/>
      <c r="R50" s="107"/>
      <c r="S50" s="107"/>
      <c r="T50" s="107"/>
      <c r="U50" s="107"/>
      <c r="V50" s="107"/>
    </row>
    <row r="51" spans="3:22" ht="12">
      <c r="C51" s="107"/>
      <c r="D51" s="107"/>
      <c r="E51" s="107"/>
      <c r="F51" s="107"/>
      <c r="G51" s="107"/>
      <c r="H51" s="107"/>
      <c r="I51" s="107"/>
      <c r="J51" s="107"/>
      <c r="K51" s="107"/>
      <c r="L51" s="107"/>
      <c r="M51" s="107"/>
      <c r="N51" s="107"/>
      <c r="O51" s="107"/>
      <c r="P51" s="107"/>
      <c r="Q51" s="107"/>
      <c r="R51" s="107"/>
      <c r="S51" s="107"/>
      <c r="T51" s="107"/>
      <c r="U51" s="107"/>
      <c r="V51" s="107"/>
    </row>
  </sheetData>
  <sheetProtection/>
  <mergeCells count="2">
    <mergeCell ref="C12:C15"/>
    <mergeCell ref="F2:I2"/>
  </mergeCells>
  <conditionalFormatting sqref="C30:V42">
    <cfRule type="expression" priority="1" dxfId="12" stopIfTrue="1">
      <formula>IF(C$30=Current,TRUE,FALSE)</formula>
    </cfRule>
    <cfRule type="expression" priority="2" dxfId="10" stopIfTrue="1">
      <formula>IF(C$30&gt;Current,TRUE,FALSE)</formula>
    </cfRule>
    <cfRule type="expression" priority="3" dxfId="13" stopIfTrue="1">
      <formula>IF(C$30&gt;Current,FALSE,TRUE)</formula>
    </cfRule>
  </conditionalFormatting>
  <conditionalFormatting sqref="V21:V23">
    <cfRule type="expression" priority="4" dxfId="14" stopIfTrue="1">
      <formula>AND(V$30&lt;Current,V$30&gt;=Start)</formula>
    </cfRule>
    <cfRule type="expression" priority="5" dxfId="6" stopIfTrue="1">
      <formula>IF(V$30&gt;=Current,TRUE,FALSE)</formula>
    </cfRule>
    <cfRule type="expression" priority="6" dxfId="6" stopIfTrue="1">
      <formula>IF(V$30&gt;=Start,FALSE,TRUE)</formula>
    </cfRule>
  </conditionalFormatting>
  <dataValidations count="1">
    <dataValidation allowBlank="1" errorTitle="Destruction" error="Enter % of agent in equipment at the end of its life that is destroyed." sqref="C19:C20"/>
  </dataValidations>
  <printOptions/>
  <pageMargins left="0.787" right="0.787" top="0.984" bottom="0.984" header="0.5" footer="0.5"/>
  <pageSetup horizontalDpi="600" verticalDpi="6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sheetPr codeName="Sheet4"/>
  <dimension ref="B2:W43"/>
  <sheetViews>
    <sheetView zoomScalePageLayoutView="0" workbookViewId="0" topLeftCell="A13">
      <pane xSplit="2" topLeftCell="C1" activePane="topRight" state="frozen"/>
      <selection pane="topLeft" activeCell="A1" sqref="A1"/>
      <selection pane="topRight" activeCell="C17" sqref="C17"/>
    </sheetView>
  </sheetViews>
  <sheetFormatPr defaultColWidth="8.8515625" defaultRowHeight="12.75"/>
  <cols>
    <col min="1" max="1" width="2.7109375" style="5" customWidth="1"/>
    <col min="2" max="2" width="36.140625" style="5" customWidth="1"/>
    <col min="3" max="22" width="9.57421875" style="5" customWidth="1"/>
    <col min="23" max="23" width="10.28125" style="5" customWidth="1"/>
    <col min="24" max="16384" width="8.8515625" style="5" customWidth="1"/>
  </cols>
  <sheetData>
    <row r="1" ht="12.75" thickBot="1"/>
    <row r="2" spans="2:5" ht="12.75" thickBot="1">
      <c r="B2" s="73" t="s">
        <v>51</v>
      </c>
      <c r="C2" s="121" t="s">
        <v>74</v>
      </c>
      <c r="D2" s="121"/>
      <c r="E2" s="122"/>
    </row>
    <row r="3" spans="2:5" ht="12.75" thickBot="1">
      <c r="B3" s="74" t="s">
        <v>0</v>
      </c>
      <c r="C3" s="121">
        <v>2015</v>
      </c>
      <c r="D3" s="121"/>
      <c r="E3" s="122"/>
    </row>
    <row r="4" spans="2:5" ht="12.75" thickBot="1">
      <c r="B4" s="75"/>
      <c r="C4" s="83"/>
      <c r="D4" s="83"/>
      <c r="E4" s="83"/>
    </row>
    <row r="5" spans="3:9" ht="12.75" thickBot="1">
      <c r="C5" s="126" t="s">
        <v>54</v>
      </c>
      <c r="D5" s="127"/>
      <c r="E5" s="127"/>
      <c r="F5" s="127"/>
      <c r="G5" s="127"/>
      <c r="H5" s="127"/>
      <c r="I5" s="128"/>
    </row>
    <row r="6" spans="3:9" ht="12.75" thickBot="1">
      <c r="C6" s="84" t="s">
        <v>3</v>
      </c>
      <c r="D6" s="84" t="s">
        <v>4</v>
      </c>
      <c r="E6" s="84" t="s">
        <v>5</v>
      </c>
      <c r="F6" s="85" t="s">
        <v>68</v>
      </c>
      <c r="G6" s="86" t="s">
        <v>7</v>
      </c>
      <c r="H6" s="86" t="s">
        <v>14</v>
      </c>
      <c r="I6" s="86" t="s">
        <v>8</v>
      </c>
    </row>
    <row r="7" spans="2:9" ht="12.75" thickBot="1">
      <c r="B7" s="123" t="s">
        <v>53</v>
      </c>
      <c r="C7" s="124"/>
      <c r="D7" s="124"/>
      <c r="E7" s="124"/>
      <c r="F7" s="124"/>
      <c r="G7" s="124"/>
      <c r="H7" s="124"/>
      <c r="I7" s="125"/>
    </row>
    <row r="8" spans="2:9" ht="12">
      <c r="B8" s="19" t="s">
        <v>48</v>
      </c>
      <c r="C8" s="52"/>
      <c r="D8" s="52"/>
      <c r="E8" s="52"/>
      <c r="F8" s="52"/>
      <c r="G8" s="52"/>
      <c r="H8" s="52"/>
      <c r="I8" s="53"/>
    </row>
    <row r="9" spans="2:9" ht="12">
      <c r="B9" s="20" t="s">
        <v>55</v>
      </c>
      <c r="C9" s="55"/>
      <c r="D9" s="55"/>
      <c r="E9" s="55"/>
      <c r="F9" s="55"/>
      <c r="G9" s="55"/>
      <c r="H9" s="55"/>
      <c r="I9" s="56"/>
    </row>
    <row r="10" spans="2:9" ht="12.75" thickBot="1">
      <c r="B10" s="21" t="s">
        <v>32</v>
      </c>
      <c r="C10" s="57"/>
      <c r="D10" s="57"/>
      <c r="E10" s="57"/>
      <c r="F10" s="57"/>
      <c r="G10" s="57"/>
      <c r="H10" s="57"/>
      <c r="I10" s="58"/>
    </row>
    <row r="11" spans="2:9" ht="12.75" thickBot="1">
      <c r="B11" s="68" t="s">
        <v>33</v>
      </c>
      <c r="C11" s="65">
        <f>C8+C9-C10</f>
        <v>0</v>
      </c>
      <c r="D11" s="65">
        <f aca="true" t="shared" si="0" ref="D11:I11">D8+D9-D10</f>
        <v>0</v>
      </c>
      <c r="E11" s="65">
        <f t="shared" si="0"/>
        <v>0</v>
      </c>
      <c r="F11" s="66">
        <f t="shared" si="0"/>
        <v>0</v>
      </c>
      <c r="G11" s="67">
        <f t="shared" si="0"/>
        <v>0</v>
      </c>
      <c r="H11" s="67">
        <f t="shared" si="0"/>
        <v>0</v>
      </c>
      <c r="I11" s="67">
        <f t="shared" si="0"/>
        <v>0</v>
      </c>
    </row>
    <row r="12" spans="2:9" ht="12">
      <c r="B12" s="19" t="s">
        <v>49</v>
      </c>
      <c r="C12" s="52"/>
      <c r="D12" s="52"/>
      <c r="E12" s="52"/>
      <c r="F12" s="53">
        <v>1997</v>
      </c>
      <c r="G12" s="54">
        <v>1998</v>
      </c>
      <c r="H12" s="54"/>
      <c r="I12" s="54"/>
    </row>
    <row r="13" spans="2:9" ht="12.75" thickBot="1">
      <c r="B13" s="21" t="s">
        <v>56</v>
      </c>
      <c r="C13" s="62"/>
      <c r="D13" s="62"/>
      <c r="E13" s="62"/>
      <c r="F13" s="62">
        <v>0.025</v>
      </c>
      <c r="G13" s="62">
        <v>0.03</v>
      </c>
      <c r="H13" s="62"/>
      <c r="I13" s="63"/>
    </row>
    <row r="14" spans="2:9" ht="12.75" thickBot="1">
      <c r="B14" s="123" t="s">
        <v>21</v>
      </c>
      <c r="C14" s="124"/>
      <c r="D14" s="124"/>
      <c r="E14" s="124"/>
      <c r="F14" s="124"/>
      <c r="G14" s="124"/>
      <c r="H14" s="124"/>
      <c r="I14" s="125"/>
    </row>
    <row r="15" spans="2:9" ht="12.75" thickBot="1">
      <c r="B15" s="20" t="s">
        <v>57</v>
      </c>
      <c r="C15" s="59">
        <v>5</v>
      </c>
      <c r="D15" s="69">
        <f aca="true" t="shared" si="1" ref="D15:I17">C15</f>
        <v>5</v>
      </c>
      <c r="E15" s="69">
        <f t="shared" si="1"/>
        <v>5</v>
      </c>
      <c r="F15" s="69">
        <f t="shared" si="1"/>
        <v>5</v>
      </c>
      <c r="G15" s="69">
        <f t="shared" si="1"/>
        <v>5</v>
      </c>
      <c r="H15" s="69">
        <f t="shared" si="1"/>
        <v>5</v>
      </c>
      <c r="I15" s="71">
        <f t="shared" si="1"/>
        <v>5</v>
      </c>
    </row>
    <row r="16" spans="2:9" ht="12.75" thickBot="1">
      <c r="B16" s="20" t="s">
        <v>9</v>
      </c>
      <c r="C16" s="60">
        <v>0.04</v>
      </c>
      <c r="D16" s="70">
        <f t="shared" si="1"/>
        <v>0.04</v>
      </c>
      <c r="E16" s="70">
        <f t="shared" si="1"/>
        <v>0.04</v>
      </c>
      <c r="F16" s="70">
        <f t="shared" si="1"/>
        <v>0.04</v>
      </c>
      <c r="G16" s="70">
        <f t="shared" si="1"/>
        <v>0.04</v>
      </c>
      <c r="H16" s="70">
        <f t="shared" si="1"/>
        <v>0.04</v>
      </c>
      <c r="I16" s="72">
        <f t="shared" si="1"/>
        <v>0.04</v>
      </c>
    </row>
    <row r="17" spans="2:9" ht="12.75" thickBot="1">
      <c r="B17" s="21" t="s">
        <v>50</v>
      </c>
      <c r="C17" s="60">
        <v>0.25</v>
      </c>
      <c r="D17" s="70">
        <f t="shared" si="1"/>
        <v>0.25</v>
      </c>
      <c r="E17" s="70">
        <f t="shared" si="1"/>
        <v>0.25</v>
      </c>
      <c r="F17" s="70">
        <f t="shared" si="1"/>
        <v>0.25</v>
      </c>
      <c r="G17" s="70">
        <f t="shared" si="1"/>
        <v>0.25</v>
      </c>
      <c r="H17" s="70">
        <f t="shared" si="1"/>
        <v>0.25</v>
      </c>
      <c r="I17" s="72">
        <f t="shared" si="1"/>
        <v>0.25</v>
      </c>
    </row>
    <row r="20" spans="3:23" ht="12.75" thickBot="1">
      <c r="C20" s="87" t="str">
        <f>C22&amp;C23</f>
        <v>HFC-23Production</v>
      </c>
      <c r="D20" s="87" t="str">
        <f>C22&amp;D23</f>
        <v>HFC-23Import</v>
      </c>
      <c r="E20" s="87" t="str">
        <f>C22&amp;E23</f>
        <v>HFC-23Export</v>
      </c>
      <c r="F20" s="87" t="str">
        <f>F22&amp;F23</f>
        <v>HFC-125Production</v>
      </c>
      <c r="G20" s="87" t="str">
        <f>F22&amp;G23</f>
        <v>HFC-125Import</v>
      </c>
      <c r="H20" s="87" t="str">
        <f>F22&amp;H23</f>
        <v>HFC-125Export</v>
      </c>
      <c r="I20" s="87" t="str">
        <f>I22&amp;I23</f>
        <v>HFC-134aProduction</v>
      </c>
      <c r="J20" s="87" t="str">
        <f>I22&amp;J23</f>
        <v>HFC-134aImport</v>
      </c>
      <c r="K20" s="87" t="str">
        <f>I22&amp;K23</f>
        <v>HFC-134aExport</v>
      </c>
      <c r="L20" s="87" t="str">
        <f>L22&amp;L23</f>
        <v>HFC-236faProduction</v>
      </c>
      <c r="M20" s="87" t="str">
        <f>L22&amp;M23</f>
        <v>HFC-236faImport</v>
      </c>
      <c r="N20" s="87" t="str">
        <f>L22&amp;N23</f>
        <v>HFC-236faExport</v>
      </c>
      <c r="O20" s="87" t="str">
        <f>O22&amp;O23</f>
        <v>HFC-227eaProduction</v>
      </c>
      <c r="P20" s="87" t="str">
        <f>O22&amp;P23</f>
        <v>HFC-227eaImport</v>
      </c>
      <c r="Q20" s="87" t="str">
        <f>O22&amp;Q23</f>
        <v>HFC-227eaExport</v>
      </c>
      <c r="R20" s="87" t="str">
        <f>R22&amp;R23</f>
        <v>PFC-14Production</v>
      </c>
      <c r="S20" s="87" t="str">
        <f>R22&amp;S23</f>
        <v>PFC-14Import</v>
      </c>
      <c r="T20" s="87" t="str">
        <f>R22&amp;T23</f>
        <v>PFC-14Export</v>
      </c>
      <c r="U20" s="87" t="str">
        <f>U22&amp;U23</f>
        <v>PFC-31-10Production</v>
      </c>
      <c r="V20" s="87" t="str">
        <f>U22&amp;V23</f>
        <v>PFC-31-10Import</v>
      </c>
      <c r="W20" s="87" t="str">
        <f>U22&amp;W23</f>
        <v>PFC-31-10Export</v>
      </c>
    </row>
    <row r="21" spans="2:23" ht="12.75" customHeight="1" thickBot="1">
      <c r="B21" s="123" t="s">
        <v>60</v>
      </c>
      <c r="C21" s="124"/>
      <c r="D21" s="124"/>
      <c r="E21" s="124"/>
      <c r="F21" s="124"/>
      <c r="G21" s="124"/>
      <c r="H21" s="124"/>
      <c r="I21" s="124"/>
      <c r="J21" s="124"/>
      <c r="K21" s="124"/>
      <c r="L21" s="124"/>
      <c r="M21" s="124"/>
      <c r="N21" s="124"/>
      <c r="O21" s="124"/>
      <c r="P21" s="124"/>
      <c r="Q21" s="124"/>
      <c r="R21" s="124"/>
      <c r="S21" s="124"/>
      <c r="T21" s="124"/>
      <c r="U21" s="124"/>
      <c r="V21" s="124"/>
      <c r="W21" s="125"/>
    </row>
    <row r="22" spans="2:23" ht="12">
      <c r="B22" s="78" t="s">
        <v>1</v>
      </c>
      <c r="C22" s="120" t="str">
        <f>C6</f>
        <v>HFC-23</v>
      </c>
      <c r="D22" s="120"/>
      <c r="E22" s="120"/>
      <c r="F22" s="120" t="str">
        <f>D6</f>
        <v>HFC-125</v>
      </c>
      <c r="G22" s="120"/>
      <c r="H22" s="120"/>
      <c r="I22" s="120" t="str">
        <f>E6</f>
        <v>HFC-134a</v>
      </c>
      <c r="J22" s="120"/>
      <c r="K22" s="120"/>
      <c r="L22" s="120" t="str">
        <f>F6</f>
        <v>HFC-236fa</v>
      </c>
      <c r="M22" s="120"/>
      <c r="N22" s="120"/>
      <c r="O22" s="120" t="str">
        <f>G6</f>
        <v>HFC-227ea</v>
      </c>
      <c r="P22" s="120"/>
      <c r="Q22" s="120"/>
      <c r="R22" s="120" t="str">
        <f>H6</f>
        <v>PFC-14</v>
      </c>
      <c r="S22" s="120"/>
      <c r="T22" s="120"/>
      <c r="U22" s="120" t="str">
        <f>I6</f>
        <v>PFC-31-10</v>
      </c>
      <c r="V22" s="120"/>
      <c r="W22" s="120"/>
    </row>
    <row r="23" spans="2:23" s="89" customFormat="1" ht="11.25">
      <c r="B23" s="88"/>
      <c r="C23" s="76" t="s">
        <v>27</v>
      </c>
      <c r="D23" s="76" t="s">
        <v>58</v>
      </c>
      <c r="E23" s="76" t="s">
        <v>59</v>
      </c>
      <c r="F23" s="76" t="s">
        <v>27</v>
      </c>
      <c r="G23" s="76" t="s">
        <v>58</v>
      </c>
      <c r="H23" s="76" t="s">
        <v>59</v>
      </c>
      <c r="I23" s="76" t="s">
        <v>27</v>
      </c>
      <c r="J23" s="76" t="s">
        <v>58</v>
      </c>
      <c r="K23" s="76" t="s">
        <v>59</v>
      </c>
      <c r="L23" s="76" t="s">
        <v>27</v>
      </c>
      <c r="M23" s="76" t="s">
        <v>58</v>
      </c>
      <c r="N23" s="76" t="s">
        <v>59</v>
      </c>
      <c r="O23" s="76" t="s">
        <v>27</v>
      </c>
      <c r="P23" s="76" t="s">
        <v>58</v>
      </c>
      <c r="Q23" s="76" t="s">
        <v>59</v>
      </c>
      <c r="R23" s="76" t="s">
        <v>27</v>
      </c>
      <c r="S23" s="76" t="s">
        <v>58</v>
      </c>
      <c r="T23" s="76" t="s">
        <v>59</v>
      </c>
      <c r="U23" s="76" t="s">
        <v>27</v>
      </c>
      <c r="V23" s="76" t="s">
        <v>58</v>
      </c>
      <c r="W23" s="76" t="s">
        <v>59</v>
      </c>
    </row>
    <row r="24" spans="2:23" ht="12">
      <c r="B24" s="76">
        <v>1996</v>
      </c>
      <c r="C24" s="82"/>
      <c r="D24" s="82"/>
      <c r="E24" s="82"/>
      <c r="F24" s="82"/>
      <c r="G24" s="82"/>
      <c r="H24" s="82"/>
      <c r="I24" s="82"/>
      <c r="J24" s="82"/>
      <c r="K24" s="82"/>
      <c r="L24" s="82"/>
      <c r="M24" s="82"/>
      <c r="N24" s="82"/>
      <c r="O24" s="82"/>
      <c r="P24" s="82"/>
      <c r="Q24" s="82"/>
      <c r="R24" s="82"/>
      <c r="S24" s="82"/>
      <c r="T24" s="82"/>
      <c r="U24" s="82"/>
      <c r="V24" s="82"/>
      <c r="W24" s="82"/>
    </row>
    <row r="25" spans="2:23" ht="12">
      <c r="B25" s="76">
        <v>1997</v>
      </c>
      <c r="C25" s="82"/>
      <c r="D25" s="82"/>
      <c r="E25" s="82"/>
      <c r="F25" s="82"/>
      <c r="G25" s="82"/>
      <c r="H25" s="82"/>
      <c r="I25" s="82"/>
      <c r="J25" s="82"/>
      <c r="K25" s="82"/>
      <c r="L25" s="82">
        <v>0</v>
      </c>
      <c r="M25" s="82">
        <v>10</v>
      </c>
      <c r="N25" s="82">
        <v>0</v>
      </c>
      <c r="O25" s="82"/>
      <c r="P25" s="82"/>
      <c r="Q25" s="82"/>
      <c r="R25" s="82"/>
      <c r="S25" s="82"/>
      <c r="T25" s="82"/>
      <c r="U25" s="82"/>
      <c r="V25" s="82"/>
      <c r="W25" s="82"/>
    </row>
    <row r="26" spans="2:23" ht="12">
      <c r="B26" s="76">
        <v>1998</v>
      </c>
      <c r="C26" s="82"/>
      <c r="D26" s="82"/>
      <c r="E26" s="82"/>
      <c r="F26" s="82"/>
      <c r="G26" s="82"/>
      <c r="H26" s="82"/>
      <c r="I26" s="82"/>
      <c r="J26" s="82"/>
      <c r="K26" s="82"/>
      <c r="L26" s="82">
        <v>0</v>
      </c>
      <c r="M26" s="82">
        <v>50</v>
      </c>
      <c r="N26" s="82">
        <v>0</v>
      </c>
      <c r="O26" s="82">
        <v>10</v>
      </c>
      <c r="P26" s="82">
        <v>50</v>
      </c>
      <c r="Q26" s="82">
        <v>0</v>
      </c>
      <c r="R26" s="82"/>
      <c r="S26" s="82"/>
      <c r="T26" s="82"/>
      <c r="U26" s="82"/>
      <c r="V26" s="82"/>
      <c r="W26" s="82"/>
    </row>
    <row r="27" spans="2:23" ht="12">
      <c r="B27" s="76">
        <v>1999</v>
      </c>
      <c r="C27" s="82"/>
      <c r="D27" s="82"/>
      <c r="E27" s="82"/>
      <c r="F27" s="82"/>
      <c r="G27" s="82"/>
      <c r="H27" s="82"/>
      <c r="I27" s="82"/>
      <c r="J27" s="82"/>
      <c r="K27" s="82"/>
      <c r="L27" s="82">
        <v>0</v>
      </c>
      <c r="M27" s="82">
        <v>100</v>
      </c>
      <c r="N27" s="82">
        <v>0</v>
      </c>
      <c r="O27" s="82">
        <v>50</v>
      </c>
      <c r="P27" s="82">
        <v>100</v>
      </c>
      <c r="Q27" s="82">
        <v>0</v>
      </c>
      <c r="R27" s="82"/>
      <c r="S27" s="82"/>
      <c r="T27" s="82"/>
      <c r="U27" s="82"/>
      <c r="V27" s="82"/>
      <c r="W27" s="82"/>
    </row>
    <row r="28" spans="2:23" ht="12">
      <c r="B28" s="76">
        <v>2000</v>
      </c>
      <c r="C28" s="82">
        <v>200</v>
      </c>
      <c r="D28" s="82"/>
      <c r="E28" s="82"/>
      <c r="F28" s="82"/>
      <c r="G28" s="82"/>
      <c r="H28" s="82"/>
      <c r="I28" s="82"/>
      <c r="J28" s="82"/>
      <c r="K28" s="82"/>
      <c r="L28" s="82">
        <v>0</v>
      </c>
      <c r="M28" s="82">
        <v>150</v>
      </c>
      <c r="N28" s="82">
        <v>0</v>
      </c>
      <c r="O28" s="82">
        <v>150</v>
      </c>
      <c r="P28" s="82">
        <v>150</v>
      </c>
      <c r="Q28" s="82">
        <v>0</v>
      </c>
      <c r="R28" s="82"/>
      <c r="S28" s="82"/>
      <c r="T28" s="82"/>
      <c r="U28" s="82"/>
      <c r="V28" s="82"/>
      <c r="W28" s="82"/>
    </row>
    <row r="29" spans="2:23" ht="12">
      <c r="B29" s="76">
        <v>2001</v>
      </c>
      <c r="C29" s="82">
        <v>200</v>
      </c>
      <c r="D29" s="82"/>
      <c r="E29" s="82"/>
      <c r="F29" s="82"/>
      <c r="G29" s="82"/>
      <c r="H29" s="82"/>
      <c r="I29" s="82"/>
      <c r="J29" s="82"/>
      <c r="K29" s="82"/>
      <c r="L29" s="82">
        <v>0</v>
      </c>
      <c r="M29" s="82">
        <v>200</v>
      </c>
      <c r="N29" s="82">
        <v>0</v>
      </c>
      <c r="O29" s="82">
        <v>350</v>
      </c>
      <c r="P29" s="82">
        <v>200</v>
      </c>
      <c r="Q29" s="82">
        <v>0</v>
      </c>
      <c r="R29" s="82"/>
      <c r="S29" s="82"/>
      <c r="T29" s="82"/>
      <c r="U29" s="82"/>
      <c r="V29" s="82"/>
      <c r="W29" s="82"/>
    </row>
    <row r="30" spans="2:23" ht="12">
      <c r="B30" s="76">
        <v>2002</v>
      </c>
      <c r="C30" s="82">
        <v>400</v>
      </c>
      <c r="D30" s="82"/>
      <c r="E30" s="82"/>
      <c r="F30" s="82"/>
      <c r="G30" s="82"/>
      <c r="H30" s="82"/>
      <c r="I30" s="82"/>
      <c r="J30" s="82"/>
      <c r="K30" s="82"/>
      <c r="L30" s="82">
        <v>0</v>
      </c>
      <c r="M30" s="82">
        <v>500</v>
      </c>
      <c r="N30" s="82">
        <v>0</v>
      </c>
      <c r="O30" s="82">
        <v>600</v>
      </c>
      <c r="P30" s="82">
        <v>500</v>
      </c>
      <c r="Q30" s="82">
        <v>0</v>
      </c>
      <c r="R30" s="82"/>
      <c r="S30" s="82"/>
      <c r="T30" s="82"/>
      <c r="U30" s="82"/>
      <c r="V30" s="82"/>
      <c r="W30" s="82"/>
    </row>
    <row r="31" spans="2:23" ht="12">
      <c r="B31" s="76">
        <v>2003</v>
      </c>
      <c r="C31" s="82">
        <v>400</v>
      </c>
      <c r="D31" s="82"/>
      <c r="E31" s="82"/>
      <c r="F31" s="82"/>
      <c r="G31" s="82"/>
      <c r="H31" s="82"/>
      <c r="I31" s="82"/>
      <c r="J31" s="82"/>
      <c r="K31" s="82"/>
      <c r="L31" s="82">
        <v>0</v>
      </c>
      <c r="M31" s="82">
        <v>200</v>
      </c>
      <c r="N31" s="82">
        <v>0</v>
      </c>
      <c r="O31" s="82">
        <v>500</v>
      </c>
      <c r="P31" s="82">
        <v>200</v>
      </c>
      <c r="Q31" s="82">
        <v>0</v>
      </c>
      <c r="R31" s="82"/>
      <c r="S31" s="82"/>
      <c r="T31" s="82"/>
      <c r="U31" s="82"/>
      <c r="V31" s="82"/>
      <c r="W31" s="82"/>
    </row>
    <row r="32" spans="2:23" ht="12">
      <c r="B32" s="76">
        <v>2004</v>
      </c>
      <c r="C32" s="82">
        <v>50</v>
      </c>
      <c r="D32" s="82">
        <v>400</v>
      </c>
      <c r="E32" s="82"/>
      <c r="F32" s="82"/>
      <c r="G32" s="82"/>
      <c r="H32" s="82"/>
      <c r="I32" s="82"/>
      <c r="J32" s="82"/>
      <c r="K32" s="82"/>
      <c r="L32" s="82">
        <v>0</v>
      </c>
      <c r="M32" s="82">
        <v>100</v>
      </c>
      <c r="N32" s="82">
        <v>0</v>
      </c>
      <c r="O32" s="82">
        <v>400</v>
      </c>
      <c r="P32" s="82">
        <v>100</v>
      </c>
      <c r="Q32" s="82">
        <v>0</v>
      </c>
      <c r="R32" s="82"/>
      <c r="S32" s="82"/>
      <c r="T32" s="82"/>
      <c r="U32" s="82"/>
      <c r="V32" s="82"/>
      <c r="W32" s="82"/>
    </row>
    <row r="33" spans="2:23" ht="12">
      <c r="B33" s="76">
        <v>2005</v>
      </c>
      <c r="C33" s="82">
        <v>400</v>
      </c>
      <c r="D33" s="82"/>
      <c r="E33" s="82"/>
      <c r="F33" s="82"/>
      <c r="G33" s="82"/>
      <c r="H33" s="82"/>
      <c r="I33" s="82"/>
      <c r="J33" s="82"/>
      <c r="K33" s="82"/>
      <c r="L33" s="82">
        <v>0</v>
      </c>
      <c r="M33" s="82">
        <v>50</v>
      </c>
      <c r="N33" s="82">
        <v>0</v>
      </c>
      <c r="O33" s="82">
        <v>180</v>
      </c>
      <c r="P33" s="82">
        <v>50</v>
      </c>
      <c r="Q33" s="82">
        <v>0</v>
      </c>
      <c r="R33" s="82"/>
      <c r="S33" s="82"/>
      <c r="T33" s="82"/>
      <c r="U33" s="82"/>
      <c r="V33" s="82"/>
      <c r="W33" s="82"/>
    </row>
    <row r="34" spans="2:23" ht="12">
      <c r="B34" s="76">
        <v>2006</v>
      </c>
      <c r="C34" s="82"/>
      <c r="D34" s="82"/>
      <c r="E34" s="82"/>
      <c r="F34" s="82"/>
      <c r="G34" s="82"/>
      <c r="H34" s="82"/>
      <c r="I34" s="82"/>
      <c r="J34" s="82"/>
      <c r="K34" s="82"/>
      <c r="L34" s="82">
        <v>0</v>
      </c>
      <c r="M34" s="82">
        <v>10</v>
      </c>
      <c r="N34" s="82">
        <v>0</v>
      </c>
      <c r="O34" s="82">
        <v>70</v>
      </c>
      <c r="P34" s="82">
        <v>10</v>
      </c>
      <c r="Q34" s="82">
        <v>0</v>
      </c>
      <c r="R34" s="82"/>
      <c r="S34" s="82"/>
      <c r="T34" s="82"/>
      <c r="U34" s="82"/>
      <c r="V34" s="82"/>
      <c r="W34" s="82"/>
    </row>
    <row r="35" spans="2:23" ht="12">
      <c r="B35" s="76">
        <v>2007</v>
      </c>
      <c r="C35" s="82"/>
      <c r="D35" s="82"/>
      <c r="E35" s="82"/>
      <c r="F35" s="82"/>
      <c r="G35" s="82"/>
      <c r="H35" s="82"/>
      <c r="I35" s="82"/>
      <c r="J35" s="82"/>
      <c r="K35" s="82"/>
      <c r="L35" s="82">
        <v>0</v>
      </c>
      <c r="M35" s="82">
        <v>0</v>
      </c>
      <c r="N35" s="82">
        <v>0</v>
      </c>
      <c r="O35" s="82">
        <v>50</v>
      </c>
      <c r="P35" s="82">
        <v>0</v>
      </c>
      <c r="Q35" s="82">
        <v>0</v>
      </c>
      <c r="R35" s="82"/>
      <c r="S35" s="82"/>
      <c r="T35" s="82"/>
      <c r="U35" s="82"/>
      <c r="V35" s="82"/>
      <c r="W35" s="82"/>
    </row>
    <row r="36" spans="2:23" ht="12">
      <c r="B36" s="76">
        <v>2008</v>
      </c>
      <c r="C36" s="82"/>
      <c r="D36" s="82"/>
      <c r="E36" s="82"/>
      <c r="F36" s="82"/>
      <c r="G36" s="82"/>
      <c r="H36" s="82"/>
      <c r="I36" s="82"/>
      <c r="J36" s="82"/>
      <c r="K36" s="82"/>
      <c r="L36" s="82">
        <v>0</v>
      </c>
      <c r="M36" s="82">
        <v>0</v>
      </c>
      <c r="N36" s="82">
        <v>0</v>
      </c>
      <c r="O36" s="82">
        <v>20</v>
      </c>
      <c r="P36" s="82">
        <v>0</v>
      </c>
      <c r="Q36" s="82">
        <v>0</v>
      </c>
      <c r="R36" s="82"/>
      <c r="S36" s="82"/>
      <c r="T36" s="82"/>
      <c r="U36" s="82"/>
      <c r="V36" s="82"/>
      <c r="W36" s="82"/>
    </row>
    <row r="37" spans="2:23" ht="12">
      <c r="B37" s="76">
        <v>2009</v>
      </c>
      <c r="C37" s="82"/>
      <c r="D37" s="82"/>
      <c r="E37" s="82"/>
      <c r="F37" s="82"/>
      <c r="G37" s="82"/>
      <c r="H37" s="82"/>
      <c r="I37" s="82"/>
      <c r="J37" s="82"/>
      <c r="K37" s="82"/>
      <c r="L37" s="82">
        <v>0</v>
      </c>
      <c r="M37" s="82">
        <v>0</v>
      </c>
      <c r="N37" s="82">
        <v>0</v>
      </c>
      <c r="O37" s="82">
        <v>0</v>
      </c>
      <c r="P37" s="82">
        <v>0</v>
      </c>
      <c r="Q37" s="82">
        <v>0</v>
      </c>
      <c r="R37" s="82"/>
      <c r="S37" s="82"/>
      <c r="T37" s="82"/>
      <c r="U37" s="82"/>
      <c r="V37" s="82"/>
      <c r="W37" s="82"/>
    </row>
    <row r="38" spans="2:23" ht="12">
      <c r="B38" s="76">
        <v>2010</v>
      </c>
      <c r="C38" s="82"/>
      <c r="D38" s="82"/>
      <c r="E38" s="82"/>
      <c r="F38" s="82"/>
      <c r="G38" s="82"/>
      <c r="H38" s="82"/>
      <c r="I38" s="82"/>
      <c r="J38" s="82"/>
      <c r="K38" s="82"/>
      <c r="L38" s="82">
        <v>0</v>
      </c>
      <c r="M38" s="82">
        <v>0</v>
      </c>
      <c r="N38" s="82">
        <v>0</v>
      </c>
      <c r="O38" s="82">
        <v>0</v>
      </c>
      <c r="P38" s="82">
        <v>0</v>
      </c>
      <c r="Q38" s="82">
        <v>0</v>
      </c>
      <c r="R38" s="82"/>
      <c r="S38" s="82"/>
      <c r="T38" s="82"/>
      <c r="U38" s="82"/>
      <c r="V38" s="82"/>
      <c r="W38" s="82"/>
    </row>
    <row r="39" spans="2:23" ht="12">
      <c r="B39" s="76">
        <v>2011</v>
      </c>
      <c r="C39" s="82"/>
      <c r="D39" s="82"/>
      <c r="E39" s="82"/>
      <c r="F39" s="82"/>
      <c r="G39" s="82"/>
      <c r="H39" s="82"/>
      <c r="I39" s="82"/>
      <c r="J39" s="82"/>
      <c r="K39" s="82"/>
      <c r="L39" s="82">
        <v>0</v>
      </c>
      <c r="M39" s="82">
        <v>0</v>
      </c>
      <c r="N39" s="82">
        <v>0</v>
      </c>
      <c r="O39" s="82">
        <v>0</v>
      </c>
      <c r="P39" s="82">
        <v>0</v>
      </c>
      <c r="Q39" s="82">
        <v>0</v>
      </c>
      <c r="R39" s="82"/>
      <c r="S39" s="82"/>
      <c r="T39" s="82"/>
      <c r="U39" s="82"/>
      <c r="V39" s="82"/>
      <c r="W39" s="82"/>
    </row>
    <row r="40" spans="2:23" ht="12">
      <c r="B40" s="76">
        <v>2012</v>
      </c>
      <c r="C40" s="82"/>
      <c r="D40" s="82"/>
      <c r="E40" s="82"/>
      <c r="F40" s="82"/>
      <c r="G40" s="82"/>
      <c r="H40" s="82"/>
      <c r="I40" s="82"/>
      <c r="J40" s="82"/>
      <c r="K40" s="82"/>
      <c r="L40" s="82">
        <v>0</v>
      </c>
      <c r="M40" s="82">
        <v>0</v>
      </c>
      <c r="N40" s="82">
        <v>0</v>
      </c>
      <c r="O40" s="82">
        <v>0</v>
      </c>
      <c r="P40" s="82">
        <v>0</v>
      </c>
      <c r="Q40" s="82">
        <v>0</v>
      </c>
      <c r="R40" s="82"/>
      <c r="S40" s="82"/>
      <c r="T40" s="82"/>
      <c r="U40" s="82"/>
      <c r="V40" s="82"/>
      <c r="W40" s="82"/>
    </row>
    <row r="41" spans="2:23" ht="12">
      <c r="B41" s="76">
        <v>2013</v>
      </c>
      <c r="C41" s="82"/>
      <c r="D41" s="82"/>
      <c r="E41" s="82"/>
      <c r="F41" s="82"/>
      <c r="G41" s="82"/>
      <c r="H41" s="82"/>
      <c r="I41" s="82"/>
      <c r="J41" s="82"/>
      <c r="K41" s="82"/>
      <c r="L41" s="82">
        <v>0</v>
      </c>
      <c r="M41" s="82">
        <v>0</v>
      </c>
      <c r="N41" s="82">
        <v>0</v>
      </c>
      <c r="O41" s="82">
        <v>0</v>
      </c>
      <c r="P41" s="82">
        <v>0</v>
      </c>
      <c r="Q41" s="82">
        <v>0</v>
      </c>
      <c r="R41" s="82"/>
      <c r="S41" s="82"/>
      <c r="T41" s="82"/>
      <c r="U41" s="82"/>
      <c r="V41" s="82"/>
      <c r="W41" s="82"/>
    </row>
    <row r="42" spans="2:23" ht="12">
      <c r="B42" s="76">
        <v>2014</v>
      </c>
      <c r="C42" s="82"/>
      <c r="D42" s="82"/>
      <c r="E42" s="82"/>
      <c r="F42" s="82"/>
      <c r="G42" s="82"/>
      <c r="H42" s="82"/>
      <c r="I42" s="82"/>
      <c r="J42" s="82"/>
      <c r="K42" s="82"/>
      <c r="L42" s="82">
        <v>0</v>
      </c>
      <c r="M42" s="82">
        <v>0</v>
      </c>
      <c r="N42" s="82">
        <v>0</v>
      </c>
      <c r="O42" s="82">
        <v>0</v>
      </c>
      <c r="P42" s="82">
        <v>0</v>
      </c>
      <c r="Q42" s="82">
        <v>0</v>
      </c>
      <c r="R42" s="82"/>
      <c r="S42" s="82"/>
      <c r="T42" s="82"/>
      <c r="U42" s="82"/>
      <c r="V42" s="82"/>
      <c r="W42" s="82"/>
    </row>
    <row r="43" spans="2:23" ht="12">
      <c r="B43" s="76">
        <v>2015</v>
      </c>
      <c r="C43" s="82"/>
      <c r="D43" s="82"/>
      <c r="E43" s="82"/>
      <c r="F43" s="82"/>
      <c r="G43" s="82"/>
      <c r="H43" s="82"/>
      <c r="I43" s="82"/>
      <c r="J43" s="82"/>
      <c r="K43" s="82"/>
      <c r="L43" s="82">
        <v>0</v>
      </c>
      <c r="M43" s="82">
        <v>0</v>
      </c>
      <c r="N43" s="82">
        <v>0</v>
      </c>
      <c r="O43" s="82">
        <v>0</v>
      </c>
      <c r="P43" s="82">
        <v>0</v>
      </c>
      <c r="Q43" s="82">
        <v>0</v>
      </c>
      <c r="R43" s="82"/>
      <c r="S43" s="82"/>
      <c r="T43" s="82"/>
      <c r="U43" s="82"/>
      <c r="V43" s="82"/>
      <c r="W43" s="82"/>
    </row>
  </sheetData>
  <sheetProtection/>
  <mergeCells count="13">
    <mergeCell ref="I22:K22"/>
    <mergeCell ref="B21:W21"/>
    <mergeCell ref="L22:N22"/>
    <mergeCell ref="O22:Q22"/>
    <mergeCell ref="R22:T22"/>
    <mergeCell ref="U22:W22"/>
    <mergeCell ref="C2:E2"/>
    <mergeCell ref="C3:E3"/>
    <mergeCell ref="B7:I7"/>
    <mergeCell ref="B14:I14"/>
    <mergeCell ref="C5:I5"/>
    <mergeCell ref="C22:E22"/>
    <mergeCell ref="F22:H22"/>
  </mergeCells>
  <conditionalFormatting sqref="C24:C43 F24:F43 L24:L43 I24:I43 R24:R43 U24:U43 O24:O43">
    <cfRule type="expression" priority="1" dxfId="1" stopIfTrue="1">
      <formula>IF($B24&lt;HLOOKUP(C$22,$B$6:$I$17,7,FALSE),TRUE,FALSE)</formula>
    </cfRule>
    <cfRule type="expression" priority="2" dxfId="0" stopIfTrue="1">
      <formula>IF($B24&gt;$C$3,TRUE,FALSE)</formula>
    </cfRule>
  </conditionalFormatting>
  <conditionalFormatting sqref="D24:D43 G24:G43 J24:J43 M24:M43 S24:S43 V24:V43 P24:P43">
    <cfRule type="expression" priority="3" dxfId="1" stopIfTrue="1">
      <formula>IF($B24&lt;HLOOKUP(C$22,$B$6:$I$17,7,FALSE),TRUE,FALSE)</formula>
    </cfRule>
    <cfRule type="expression" priority="4" dxfId="0" stopIfTrue="1">
      <formula>IF($B24&gt;$C$3,TRUE,FALSE)</formula>
    </cfRule>
  </conditionalFormatting>
  <conditionalFormatting sqref="E24:E43 H24:H43 K24:K43 N24:N43 T24:T43 W24:W43 Q24:Q43">
    <cfRule type="expression" priority="5" dxfId="1" stopIfTrue="1">
      <formula>IF($B24&lt;HLOOKUP(C$22,$B$6:$I$17,7,FALSE),TRUE,FALSE)</formula>
    </cfRule>
    <cfRule type="expression" priority="6" dxfId="0" stopIfTrue="1">
      <formula>IF($B24&gt;$C$3,TRUE,FALSE)</formula>
    </cfRule>
  </conditionalFormatting>
  <dataValidations count="4">
    <dataValidation type="whole" operator="greaterThan" allowBlank="1" showInputMessage="1" showErrorMessage="1" sqref="C15:I15">
      <formula1>0</formula1>
    </dataValidation>
    <dataValidation type="decimal" allowBlank="1" showInputMessage="1" showErrorMessage="1" errorTitle="Destruction" error="Enter % of agent in equipment at the end of its life that is destroyed." sqref="C17:I17">
      <formula1>0</formula1>
      <formula2>1</formula2>
    </dataValidation>
    <dataValidation allowBlank="1" errorTitle="Destruction" error="Enter % of agent in equipment at the end of its life that is destroyed." sqref="C11:I11"/>
    <dataValidation type="whole" allowBlank="1" showInputMessage="1" showErrorMessage="1" errorTitle="Year of Introduction" error="Must be between 1997 and 2015" sqref="C12:I12">
      <formula1>1997</formula1>
      <formula2>2015</formula2>
    </dataValidation>
  </dataValidations>
  <printOptions/>
  <pageMargins left="0.787" right="0.787" top="0.984" bottom="0.984"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tabColor indexed="10"/>
  </sheetPr>
  <dimension ref="A1:V205"/>
  <sheetViews>
    <sheetView zoomScalePageLayoutView="0" workbookViewId="0" topLeftCell="A1">
      <selection activeCell="E13" sqref="E13"/>
    </sheetView>
  </sheetViews>
  <sheetFormatPr defaultColWidth="8.8515625" defaultRowHeight="12.75"/>
  <cols>
    <col min="1" max="16384" width="8.8515625" style="90" customWidth="1"/>
  </cols>
  <sheetData>
    <row r="1" spans="1:12" ht="13.5" thickBot="1">
      <c r="A1" s="90" t="str">
        <f ca="1">OFFSET(A4,A2-1,0)</f>
        <v>HFC-227ea</v>
      </c>
      <c r="D1" s="90" t="str">
        <f>Data!C2</f>
        <v>Country XX</v>
      </c>
      <c r="H1" s="90" t="str">
        <f ca="1">OFFSET(H4,H2-1,0)</f>
        <v>Use National Data</v>
      </c>
      <c r="L1" s="91" t="str">
        <f>"Emissions of "&amp;A1&amp;""</f>
        <v>Emissions of HFC-227ea</v>
      </c>
    </row>
    <row r="2" spans="1:8" ht="12.75">
      <c r="A2" s="92">
        <v>5</v>
      </c>
      <c r="D2" s="90">
        <v>9</v>
      </c>
      <c r="H2" s="90">
        <v>1</v>
      </c>
    </row>
    <row r="4" spans="1:8" ht="12.75">
      <c r="A4" s="90" t="s">
        <v>3</v>
      </c>
      <c r="D4" s="90" t="str">
        <f>$A$1&amp;"Production"</f>
        <v>HFC-227eaProduction</v>
      </c>
      <c r="H4" s="90" t="s">
        <v>15</v>
      </c>
    </row>
    <row r="5" spans="1:8" ht="12.75">
      <c r="A5" s="90" t="s">
        <v>4</v>
      </c>
      <c r="D5" s="90" t="str">
        <f>$A$1&amp;"Import"</f>
        <v>HFC-227eaImport</v>
      </c>
      <c r="H5" s="90" t="s">
        <v>16</v>
      </c>
    </row>
    <row r="6" spans="1:4" ht="12.75">
      <c r="A6" s="90" t="s">
        <v>5</v>
      </c>
      <c r="D6" s="90" t="str">
        <f>$A$1&amp;"Export"</f>
        <v>HFC-227eaExport</v>
      </c>
    </row>
    <row r="7" spans="1:4" ht="12.75">
      <c r="A7" s="90" t="s">
        <v>6</v>
      </c>
      <c r="D7" s="18"/>
    </row>
    <row r="8" spans="1:9" ht="12.75">
      <c r="A8" s="90" t="s">
        <v>7</v>
      </c>
      <c r="D8" s="18"/>
      <c r="H8" s="90">
        <f>Calc!Current</f>
        <v>2015</v>
      </c>
      <c r="I8" s="90">
        <v>0</v>
      </c>
    </row>
    <row r="9" spans="1:9" ht="12.75">
      <c r="A9" s="90" t="s">
        <v>14</v>
      </c>
      <c r="D9" s="18"/>
      <c r="H9" s="90">
        <f>Calc!Current</f>
        <v>2015</v>
      </c>
      <c r="I9" s="93">
        <f ca="1">OFFSET(Calc!C42,0,Calc!Current-1996)</f>
        <v>0</v>
      </c>
    </row>
    <row r="10" spans="1:4" ht="12.75">
      <c r="A10" s="90" t="s">
        <v>8</v>
      </c>
      <c r="D10" s="18"/>
    </row>
    <row r="11" ht="12.75">
      <c r="I11" s="93">
        <f>Calc!N38</f>
        <v>254.118488064</v>
      </c>
    </row>
    <row r="13" spans="2:3" ht="12.75">
      <c r="B13" s="90" t="str">
        <f>Data!B22</f>
        <v>Year</v>
      </c>
      <c r="C13" s="90" t="str">
        <f>B13</f>
        <v>Year</v>
      </c>
    </row>
    <row r="14" spans="2:3" ht="12.75">
      <c r="B14" s="90" t="str">
        <f>"&gt;="&amp;MIN(Data!$C$12:$I$12)</f>
        <v>&gt;=1997</v>
      </c>
      <c r="C14" s="90" t="str">
        <f>"&lt;"&amp;Data!$C$3</f>
        <v>&lt;2015</v>
      </c>
    </row>
    <row r="20" ht="13.5" thickBot="1"/>
    <row r="21" spans="1:22" s="97" customFormat="1" ht="12.75">
      <c r="A21" s="94"/>
      <c r="B21" s="80" t="s">
        <v>27</v>
      </c>
      <c r="C21" s="95">
        <f>IF(ISNUMBER(HLOOKUP(Do_Not_Edit!$A$1&amp;"Production",oldtable,Calc!C$30-1991,FALSE)),HLOOKUP(Do_Not_Edit!$A$1&amp;"Production",oldtable,Calc!C$30-1991,FALSE),"")</f>
      </c>
      <c r="D21" s="95">
        <f>IF(ISNUMBER(HLOOKUP(Do_Not_Edit!$A$1&amp;"Production",oldtable,Calc!D$30-1991,FALSE)),HLOOKUP(Do_Not_Edit!$A$1&amp;"Production",oldtable,Calc!D$30-1991,FALSE),"")</f>
      </c>
      <c r="E21" s="95">
        <f>IF(ISNUMBER(HLOOKUP(Do_Not_Edit!$A$1&amp;"Production",oldtable,Calc!E$30-1991,FALSE)),HLOOKUP(Do_Not_Edit!$A$1&amp;"Production",oldtable,Calc!E$30-1991,FALSE),"")</f>
        <v>10</v>
      </c>
      <c r="F21" s="95">
        <f>IF(ISNUMBER(HLOOKUP(Do_Not_Edit!$A$1&amp;"Production",oldtable,Calc!F$30-1991,FALSE)),HLOOKUP(Do_Not_Edit!$A$1&amp;"Production",oldtable,Calc!F$30-1991,FALSE),"")</f>
        <v>50</v>
      </c>
      <c r="G21" s="95">
        <f>IF(ISNUMBER(HLOOKUP(Do_Not_Edit!$A$1&amp;"Production",oldtable,Calc!G$30-1991,FALSE)),HLOOKUP(Do_Not_Edit!$A$1&amp;"Production",oldtable,Calc!G$30-1991,FALSE),"")</f>
        <v>150</v>
      </c>
      <c r="H21" s="95">
        <f>IF(ISNUMBER(HLOOKUP(Do_Not_Edit!$A$1&amp;"Production",oldtable,Calc!H$30-1991,FALSE)),HLOOKUP(Do_Not_Edit!$A$1&amp;"Production",oldtable,Calc!H$30-1991,FALSE),"")</f>
        <v>350</v>
      </c>
      <c r="I21" s="95">
        <f>IF(ISNUMBER(HLOOKUP(Do_Not_Edit!$A$1&amp;"Production",oldtable,Calc!I$30-1991,FALSE)),HLOOKUP(Do_Not_Edit!$A$1&amp;"Production",oldtable,Calc!I$30-1991,FALSE),"")</f>
        <v>600</v>
      </c>
      <c r="J21" s="95">
        <f>IF(ISNUMBER(HLOOKUP(Do_Not_Edit!$A$1&amp;"Production",oldtable,Calc!J$30-1991,FALSE)),HLOOKUP(Do_Not_Edit!$A$1&amp;"Production",oldtable,Calc!J$30-1991,FALSE),"")</f>
        <v>500</v>
      </c>
      <c r="K21" s="95">
        <f>IF(ISNUMBER(HLOOKUP(Do_Not_Edit!$A$1&amp;"Production",oldtable,Calc!K$30-1991,FALSE)),HLOOKUP(Do_Not_Edit!$A$1&amp;"Production",oldtable,Calc!K$30-1991,FALSE),"")</f>
        <v>400</v>
      </c>
      <c r="L21" s="95">
        <f>IF(ISNUMBER(HLOOKUP(Do_Not_Edit!$A$1&amp;"Production",oldtable,Calc!L$30-1991,FALSE)),HLOOKUP(Do_Not_Edit!$A$1&amp;"Production",oldtable,Calc!L$30-1991,FALSE),"")</f>
        <v>180</v>
      </c>
      <c r="M21" s="95">
        <f>IF(ISNUMBER(HLOOKUP(Do_Not_Edit!$A$1&amp;"Production",oldtable,Calc!M$30-1991,FALSE)),HLOOKUP(Do_Not_Edit!$A$1&amp;"Production",oldtable,Calc!M$30-1991,FALSE),"")</f>
        <v>70</v>
      </c>
      <c r="N21" s="95">
        <f>IF(ISNUMBER(HLOOKUP(Do_Not_Edit!$A$1&amp;"Production",oldtable,Calc!N$30-1991,FALSE)),HLOOKUP(Do_Not_Edit!$A$1&amp;"Production",oldtable,Calc!N$30-1991,FALSE),"")</f>
        <v>50</v>
      </c>
      <c r="O21" s="95">
        <f>IF(ISNUMBER(HLOOKUP(Do_Not_Edit!$A$1&amp;"Production",oldtable,Calc!O$30-1991,FALSE)),HLOOKUP(Do_Not_Edit!$A$1&amp;"Production",oldtable,Calc!O$30-1991,FALSE),"")</f>
        <v>20</v>
      </c>
      <c r="P21" s="95">
        <f>IF(ISNUMBER(HLOOKUP(Do_Not_Edit!$A$1&amp;"Production",oldtable,Calc!P$30-1991,FALSE)),HLOOKUP(Do_Not_Edit!$A$1&amp;"Production",oldtable,Calc!P$30-1991,FALSE),"")</f>
        <v>0</v>
      </c>
      <c r="Q21" s="95">
        <f>IF(ISNUMBER(HLOOKUP(Do_Not_Edit!$A$1&amp;"Production",oldtable,Calc!Q$30-1991,FALSE)),HLOOKUP(Do_Not_Edit!$A$1&amp;"Production",oldtable,Calc!Q$30-1991,FALSE),"")</f>
        <v>0</v>
      </c>
      <c r="R21" s="95">
        <f>IF(ISNUMBER(HLOOKUP(Do_Not_Edit!$A$1&amp;"Production",oldtable,Calc!R$30-1991,FALSE)),HLOOKUP(Do_Not_Edit!$A$1&amp;"Production",oldtable,Calc!R$30-1991,FALSE),"")</f>
        <v>0</v>
      </c>
      <c r="S21" s="95">
        <f>IF(ISNUMBER(HLOOKUP(Do_Not_Edit!$A$1&amp;"Production",oldtable,Calc!S$30-1991,FALSE)),HLOOKUP(Do_Not_Edit!$A$1&amp;"Production",oldtable,Calc!S$30-1991,FALSE),"")</f>
        <v>0</v>
      </c>
      <c r="T21" s="95">
        <f>IF(ISNUMBER(HLOOKUP(Do_Not_Edit!$A$1&amp;"Production",oldtable,Calc!T$30-1991,FALSE)),HLOOKUP(Do_Not_Edit!$A$1&amp;"Production",oldtable,Calc!T$30-1991,FALSE),"")</f>
        <v>0</v>
      </c>
      <c r="U21" s="95">
        <f>IF(ISNUMBER(HLOOKUP(Do_Not_Edit!$A$1&amp;"Production",oldtable,Calc!U$30-1991,FALSE)),HLOOKUP(Do_Not_Edit!$A$1&amp;"Production",oldtable,Calc!U$30-1991,FALSE),"")</f>
        <v>0</v>
      </c>
      <c r="V21" s="96">
        <f>IF(ISNUMBER(HLOOKUP(Do_Not_Edit!$A$1&amp;"Production",oldtable,Calc!V$30-1991,FALSE)),HLOOKUP(Do_Not_Edit!$A$1&amp;"Production",oldtable,Calc!V$30-1991,FALSE),"")</f>
        <v>0</v>
      </c>
    </row>
    <row r="22" spans="1:22" s="97" customFormat="1" ht="12.75">
      <c r="A22" s="98"/>
      <c r="B22" s="79" t="s">
        <v>26</v>
      </c>
      <c r="C22" s="99">
        <f>IF(ISNUMBER(HLOOKUP(Do_Not_Edit!$A$1&amp;"Export",oldtable,Calc!C$30-1991,FALSE)),HLOOKUP(Do_Not_Edit!$A$1&amp;"Export",oldtable,Calc!C$30-1991,FALSE),"")</f>
      </c>
      <c r="D22" s="99">
        <f>IF(ISNUMBER(HLOOKUP(Do_Not_Edit!$A$1&amp;"Export",oldtable,Calc!D$30-1991,FALSE)),HLOOKUP(Do_Not_Edit!$A$1&amp;"Export",oldtable,Calc!D$30-1991,FALSE),"")</f>
      </c>
      <c r="E22" s="99">
        <f>IF(ISNUMBER(HLOOKUP(Do_Not_Edit!$A$1&amp;"Export",oldtable,Calc!E$30-1991,FALSE)),HLOOKUP(Do_Not_Edit!$A$1&amp;"Export",oldtable,Calc!E$30-1991,FALSE),"")</f>
        <v>0</v>
      </c>
      <c r="F22" s="99">
        <f>IF(ISNUMBER(HLOOKUP(Do_Not_Edit!$A$1&amp;"Export",oldtable,Calc!F$30-1991,FALSE)),HLOOKUP(Do_Not_Edit!$A$1&amp;"Export",oldtable,Calc!F$30-1991,FALSE),"")</f>
        <v>0</v>
      </c>
      <c r="G22" s="99">
        <f>IF(ISNUMBER(HLOOKUP(Do_Not_Edit!$A$1&amp;"Export",oldtable,Calc!G$30-1991,FALSE)),HLOOKUP(Do_Not_Edit!$A$1&amp;"Export",oldtable,Calc!G$30-1991,FALSE),"")</f>
        <v>0</v>
      </c>
      <c r="H22" s="99">
        <f>IF(ISNUMBER(HLOOKUP(Do_Not_Edit!$A$1&amp;"Export",oldtable,Calc!H$30-1991,FALSE)),HLOOKUP(Do_Not_Edit!$A$1&amp;"Export",oldtable,Calc!H$30-1991,FALSE),"")</f>
        <v>0</v>
      </c>
      <c r="I22" s="99">
        <f>IF(ISNUMBER(HLOOKUP(Do_Not_Edit!$A$1&amp;"Export",oldtable,Calc!I$30-1991,FALSE)),HLOOKUP(Do_Not_Edit!$A$1&amp;"Export",oldtable,Calc!I$30-1991,FALSE),"")</f>
        <v>0</v>
      </c>
      <c r="J22" s="99">
        <f>IF(ISNUMBER(HLOOKUP(Do_Not_Edit!$A$1&amp;"Export",oldtable,Calc!J$30-1991,FALSE)),HLOOKUP(Do_Not_Edit!$A$1&amp;"Export",oldtable,Calc!J$30-1991,FALSE),"")</f>
        <v>0</v>
      </c>
      <c r="K22" s="99">
        <f>IF(ISNUMBER(HLOOKUP(Do_Not_Edit!$A$1&amp;"Export",oldtable,Calc!K$30-1991,FALSE)),HLOOKUP(Do_Not_Edit!$A$1&amp;"Export",oldtable,Calc!K$30-1991,FALSE),"")</f>
        <v>0</v>
      </c>
      <c r="L22" s="99">
        <f>IF(ISNUMBER(HLOOKUP(Do_Not_Edit!$A$1&amp;"Export",oldtable,Calc!L$30-1991,FALSE)),HLOOKUP(Do_Not_Edit!$A$1&amp;"Export",oldtable,Calc!L$30-1991,FALSE),"")</f>
        <v>0</v>
      </c>
      <c r="M22" s="99">
        <f>IF(ISNUMBER(HLOOKUP(Do_Not_Edit!$A$1&amp;"Export",oldtable,Calc!M$30-1991,FALSE)),HLOOKUP(Do_Not_Edit!$A$1&amp;"Export",oldtable,Calc!M$30-1991,FALSE),"")</f>
        <v>0</v>
      </c>
      <c r="N22" s="99">
        <f>IF(ISNUMBER(HLOOKUP(Do_Not_Edit!$A$1&amp;"Export",oldtable,Calc!N$30-1991,FALSE)),HLOOKUP(Do_Not_Edit!$A$1&amp;"Export",oldtable,Calc!N$30-1991,FALSE),"")</f>
        <v>0</v>
      </c>
      <c r="O22" s="99">
        <f>IF(ISNUMBER(HLOOKUP(Do_Not_Edit!$A$1&amp;"Export",oldtable,Calc!O$30-1991,FALSE)),HLOOKUP(Do_Not_Edit!$A$1&amp;"Export",oldtable,Calc!O$30-1991,FALSE),"")</f>
        <v>0</v>
      </c>
      <c r="P22" s="99">
        <f>IF(ISNUMBER(HLOOKUP(Do_Not_Edit!$A$1&amp;"Export",oldtable,Calc!P$30-1991,FALSE)),HLOOKUP(Do_Not_Edit!$A$1&amp;"Export",oldtable,Calc!P$30-1991,FALSE),"")</f>
        <v>0</v>
      </c>
      <c r="Q22" s="99">
        <f>IF(ISNUMBER(HLOOKUP(Do_Not_Edit!$A$1&amp;"Export",oldtable,Calc!Q$30-1991,FALSE)),HLOOKUP(Do_Not_Edit!$A$1&amp;"Export",oldtable,Calc!Q$30-1991,FALSE),"")</f>
        <v>0</v>
      </c>
      <c r="R22" s="99">
        <f>IF(ISNUMBER(HLOOKUP(Do_Not_Edit!$A$1&amp;"Export",oldtable,Calc!R$30-1991,FALSE)),HLOOKUP(Do_Not_Edit!$A$1&amp;"Export",oldtable,Calc!R$30-1991,FALSE),"")</f>
        <v>0</v>
      </c>
      <c r="S22" s="99">
        <f>IF(ISNUMBER(HLOOKUP(Do_Not_Edit!$A$1&amp;"Export",oldtable,Calc!S$30-1991,FALSE)),HLOOKUP(Do_Not_Edit!$A$1&amp;"Export",oldtable,Calc!S$30-1991,FALSE),"")</f>
        <v>0</v>
      </c>
      <c r="T22" s="99">
        <f>IF(ISNUMBER(HLOOKUP(Do_Not_Edit!$A$1&amp;"Export",oldtable,Calc!T$30-1991,FALSE)),HLOOKUP(Do_Not_Edit!$A$1&amp;"Export",oldtable,Calc!T$30-1991,FALSE),"")</f>
        <v>0</v>
      </c>
      <c r="U22" s="99">
        <f>IF(ISNUMBER(HLOOKUP(Do_Not_Edit!$A$1&amp;"Export",oldtable,Calc!U$30-1991,FALSE)),HLOOKUP(Do_Not_Edit!$A$1&amp;"Export",oldtable,Calc!U$30-1991,FALSE),"")</f>
        <v>0</v>
      </c>
      <c r="V22" s="100">
        <f>IF(ISNUMBER(HLOOKUP(Do_Not_Edit!$A$1&amp;"Export",oldtable,Calc!V$30-1991,FALSE)),HLOOKUP(Do_Not_Edit!$A$1&amp;"Export",oldtable,Calc!V$30-1991,FALSE),"")</f>
        <v>0</v>
      </c>
    </row>
    <row r="23" spans="1:22" s="97" customFormat="1" ht="13.5" thickBot="1">
      <c r="A23" s="101"/>
      <c r="B23" s="81" t="s">
        <v>30</v>
      </c>
      <c r="C23" s="102">
        <f>IF(ISNUMBER(HLOOKUP(Do_Not_Edit!$A$1&amp;"Import",oldtable,Calc!C$30-1991,FALSE)),HLOOKUP(Do_Not_Edit!$A$1&amp;"Import",oldtable,Calc!C$30-1991,FALSE),"")</f>
      </c>
      <c r="D23" s="102">
        <f>IF(ISNUMBER(HLOOKUP(Do_Not_Edit!$A$1&amp;"Import",oldtable,Calc!D$30-1991,FALSE)),HLOOKUP(Do_Not_Edit!$A$1&amp;"Import",oldtable,Calc!D$30-1991,FALSE),"")</f>
      </c>
      <c r="E23" s="102">
        <f>IF(ISNUMBER(HLOOKUP(Do_Not_Edit!$A$1&amp;"Import",oldtable,Calc!E$30-1991,FALSE)),HLOOKUP(Do_Not_Edit!$A$1&amp;"Import",oldtable,Calc!E$30-1991,FALSE),"")</f>
        <v>50</v>
      </c>
      <c r="F23" s="102">
        <f>IF(ISNUMBER(HLOOKUP(Do_Not_Edit!$A$1&amp;"Import",oldtable,Calc!F$30-1991,FALSE)),HLOOKUP(Do_Not_Edit!$A$1&amp;"Import",oldtable,Calc!F$30-1991,FALSE),"")</f>
        <v>100</v>
      </c>
      <c r="G23" s="102">
        <f>IF(ISNUMBER(HLOOKUP(Do_Not_Edit!$A$1&amp;"Import",oldtable,Calc!G$30-1991,FALSE)),HLOOKUP(Do_Not_Edit!$A$1&amp;"Import",oldtable,Calc!G$30-1991,FALSE),"")</f>
        <v>150</v>
      </c>
      <c r="H23" s="102">
        <f>IF(ISNUMBER(HLOOKUP(Do_Not_Edit!$A$1&amp;"Import",oldtable,Calc!H$30-1991,FALSE)),HLOOKUP(Do_Not_Edit!$A$1&amp;"Import",oldtable,Calc!H$30-1991,FALSE),"")</f>
        <v>200</v>
      </c>
      <c r="I23" s="102">
        <f>IF(ISNUMBER(HLOOKUP(Do_Not_Edit!$A$1&amp;"Import",oldtable,Calc!I$30-1991,FALSE)),HLOOKUP(Do_Not_Edit!$A$1&amp;"Import",oldtable,Calc!I$30-1991,FALSE),"")</f>
        <v>500</v>
      </c>
      <c r="J23" s="102">
        <f>IF(ISNUMBER(HLOOKUP(Do_Not_Edit!$A$1&amp;"Import",oldtable,Calc!J$30-1991,FALSE)),HLOOKUP(Do_Not_Edit!$A$1&amp;"Import",oldtable,Calc!J$30-1991,FALSE),"")</f>
        <v>200</v>
      </c>
      <c r="K23" s="102">
        <f>IF(ISNUMBER(HLOOKUP(Do_Not_Edit!$A$1&amp;"Import",oldtable,Calc!K$30-1991,FALSE)),HLOOKUP(Do_Not_Edit!$A$1&amp;"Import",oldtable,Calc!K$30-1991,FALSE),"")</f>
        <v>100</v>
      </c>
      <c r="L23" s="102">
        <f>IF(ISNUMBER(HLOOKUP(Do_Not_Edit!$A$1&amp;"Import",oldtable,Calc!L$30-1991,FALSE)),HLOOKUP(Do_Not_Edit!$A$1&amp;"Import",oldtable,Calc!L$30-1991,FALSE),"")</f>
        <v>50</v>
      </c>
      <c r="M23" s="102">
        <f>IF(ISNUMBER(HLOOKUP(Do_Not_Edit!$A$1&amp;"Import",oldtable,Calc!M$30-1991,FALSE)),HLOOKUP(Do_Not_Edit!$A$1&amp;"Import",oldtable,Calc!M$30-1991,FALSE),"")</f>
        <v>10</v>
      </c>
      <c r="N23" s="102">
        <f>IF(ISNUMBER(HLOOKUP(Do_Not_Edit!$A$1&amp;"Import",oldtable,Calc!N$30-1991,FALSE)),HLOOKUP(Do_Not_Edit!$A$1&amp;"Import",oldtable,Calc!N$30-1991,FALSE),"")</f>
        <v>0</v>
      </c>
      <c r="O23" s="102">
        <f>IF(ISNUMBER(HLOOKUP(Do_Not_Edit!$A$1&amp;"Import",oldtable,Calc!O$30-1991,FALSE)),HLOOKUP(Do_Not_Edit!$A$1&amp;"Import",oldtable,Calc!O$30-1991,FALSE),"")</f>
        <v>0</v>
      </c>
      <c r="P23" s="102">
        <f>IF(ISNUMBER(HLOOKUP(Do_Not_Edit!$A$1&amp;"Import",oldtable,Calc!P$30-1991,FALSE)),HLOOKUP(Do_Not_Edit!$A$1&amp;"Import",oldtable,Calc!P$30-1991,FALSE),"")</f>
        <v>0</v>
      </c>
      <c r="Q23" s="102">
        <f>IF(ISNUMBER(HLOOKUP(Do_Not_Edit!$A$1&amp;"Import",oldtable,Calc!Q$30-1991,FALSE)),HLOOKUP(Do_Not_Edit!$A$1&amp;"Import",oldtable,Calc!Q$30-1991,FALSE),"")</f>
        <v>0</v>
      </c>
      <c r="R23" s="102">
        <f>IF(ISNUMBER(HLOOKUP(Do_Not_Edit!$A$1&amp;"Import",oldtable,Calc!R$30-1991,FALSE)),HLOOKUP(Do_Not_Edit!$A$1&amp;"Import",oldtable,Calc!R$30-1991,FALSE),"")</f>
        <v>0</v>
      </c>
      <c r="S23" s="102">
        <f>IF(ISNUMBER(HLOOKUP(Do_Not_Edit!$A$1&amp;"Import",oldtable,Calc!S$30-1991,FALSE)),HLOOKUP(Do_Not_Edit!$A$1&amp;"Import",oldtable,Calc!S$30-1991,FALSE),"")</f>
        <v>0</v>
      </c>
      <c r="T23" s="102">
        <f>IF(ISNUMBER(HLOOKUP(Do_Not_Edit!$A$1&amp;"Import",oldtable,Calc!T$30-1991,FALSE)),HLOOKUP(Do_Not_Edit!$A$1&amp;"Import",oldtable,Calc!T$30-1991,FALSE),"")</f>
        <v>0</v>
      </c>
      <c r="U23" s="102">
        <f>IF(ISNUMBER(HLOOKUP(Do_Not_Edit!$A$1&amp;"Import",oldtable,Calc!U$30-1991,FALSE)),HLOOKUP(Do_Not_Edit!$A$1&amp;"Import",oldtable,Calc!U$30-1991,FALSE),"")</f>
        <v>0</v>
      </c>
      <c r="V23" s="103">
        <f>IF(ISNUMBER(HLOOKUP(Do_Not_Edit!$A$1&amp;"Import",oldtable,Calc!V$30-1991,FALSE)),HLOOKUP(Do_Not_Edit!$A$1&amp;"Import",oldtable,Calc!V$30-1991,FALSE),"")</f>
        <v>0</v>
      </c>
    </row>
    <row r="201" spans="1:21" ht="12.75">
      <c r="A201" s="5"/>
      <c r="B201" s="18"/>
      <c r="C201" s="18"/>
      <c r="E201" s="18"/>
      <c r="F201" s="18"/>
      <c r="G201" s="18"/>
      <c r="H201" s="18"/>
      <c r="I201" s="18"/>
      <c r="J201" s="18"/>
      <c r="K201" s="18"/>
      <c r="L201" s="18"/>
      <c r="M201" s="18"/>
      <c r="N201" s="18"/>
      <c r="O201" s="18"/>
      <c r="P201" s="18"/>
      <c r="Q201" s="18"/>
      <c r="R201" s="18"/>
      <c r="S201" s="18"/>
      <c r="T201" s="18"/>
      <c r="U201" s="18"/>
    </row>
    <row r="202" spans="1:21" ht="12.75">
      <c r="A202" s="18"/>
      <c r="B202" s="18"/>
      <c r="C202" s="18"/>
      <c r="E202" s="18"/>
      <c r="F202" s="18"/>
      <c r="G202" s="18"/>
      <c r="H202" s="18"/>
      <c r="I202" s="18"/>
      <c r="J202" s="18"/>
      <c r="K202" s="18"/>
      <c r="L202" s="18"/>
      <c r="M202" s="18"/>
      <c r="N202" s="18"/>
      <c r="O202" s="18"/>
      <c r="P202" s="18"/>
      <c r="Q202" s="18"/>
      <c r="R202" s="18"/>
      <c r="S202" s="18"/>
      <c r="T202" s="18"/>
      <c r="U202" s="18"/>
    </row>
    <row r="203" spans="1:21" ht="12.75">
      <c r="A203" s="18"/>
      <c r="B203" s="18"/>
      <c r="C203" s="18"/>
      <c r="E203" s="18"/>
      <c r="F203" s="18"/>
      <c r="G203" s="18"/>
      <c r="H203" s="18"/>
      <c r="I203" s="18"/>
      <c r="J203" s="18"/>
      <c r="K203" s="18"/>
      <c r="L203" s="18"/>
      <c r="M203" s="18"/>
      <c r="N203" s="18"/>
      <c r="O203" s="18"/>
      <c r="P203" s="18"/>
      <c r="Q203" s="18"/>
      <c r="R203" s="18"/>
      <c r="S203" s="18"/>
      <c r="T203" s="18"/>
      <c r="U203" s="18"/>
    </row>
    <row r="204" spans="1:21" ht="12.75">
      <c r="A204" s="18"/>
      <c r="B204" s="18"/>
      <c r="C204" s="18"/>
      <c r="E204" s="18"/>
      <c r="F204" s="18"/>
      <c r="G204" s="18"/>
      <c r="H204" s="18"/>
      <c r="I204" s="18"/>
      <c r="J204" s="18"/>
      <c r="K204" s="18"/>
      <c r="L204" s="18"/>
      <c r="M204" s="18"/>
      <c r="N204" s="18"/>
      <c r="O204" s="18"/>
      <c r="P204" s="18"/>
      <c r="Q204" s="18"/>
      <c r="R204" s="18"/>
      <c r="S204" s="18"/>
      <c r="T204" s="18"/>
      <c r="U204" s="18"/>
    </row>
    <row r="205" spans="1:21" ht="12.75">
      <c r="A205" s="18"/>
      <c r="B205" s="18"/>
      <c r="C205" s="18"/>
      <c r="E205" s="18"/>
      <c r="F205" s="18"/>
      <c r="G205" s="18"/>
      <c r="H205" s="18"/>
      <c r="I205" s="18"/>
      <c r="J205" s="18"/>
      <c r="K205" s="18"/>
      <c r="L205" s="18"/>
      <c r="M205" s="18"/>
      <c r="N205" s="18"/>
      <c r="O205" s="18"/>
      <c r="P205" s="18"/>
      <c r="Q205" s="18"/>
      <c r="R205" s="18"/>
      <c r="S205" s="18"/>
      <c r="T205" s="18"/>
      <c r="U205" s="18"/>
    </row>
  </sheetData>
  <sheetProtection selectLockedCells="1" selectUnlockedCells="1"/>
  <printOptions/>
  <pageMargins left="0.787" right="0.787" top="0.984" bottom="0.984"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Caleb Management Services/IGES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2006 IPCC Guidelines Vol.3 IPPU Chapter 7 2F1 examples</dc:title>
  <dc:subject/>
  <dc:creator>Paul Ashford/Kiyoto Tanabe</dc:creator>
  <cp:keywords/>
  <dc:description/>
  <cp:lastModifiedBy>Kiyoto Tanabe</cp:lastModifiedBy>
  <dcterms:created xsi:type="dcterms:W3CDTF">2005-07-27T16:54:05Z</dcterms:created>
  <dcterms:modified xsi:type="dcterms:W3CDTF">2015-07-30T00:58:07Z</dcterms:modified>
  <cp:category/>
  <cp:version/>
  <cp:contentType/>
  <cp:contentStatus/>
</cp:coreProperties>
</file>